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hdbonline-my.sharepoint.com/personal/mark_topliff_ahdb_org_uk/Documents/Documents/3-HGCA/5-Ad hoc analysis/Fertiliser Price Surge/"/>
    </mc:Choice>
  </mc:AlternateContent>
  <xr:revisionPtr revIDLastSave="32" documentId="8_{B3411B5E-A11C-4907-8EF1-6D048E4F8EF0}" xr6:coauthVersionLast="47" xr6:coauthVersionMax="47" xr10:uidLastSave="{A30902B1-AA9E-42BB-BB2D-3A259A805904}"/>
  <bookViews>
    <workbookView xWindow="-4440" yWindow="-16320" windowWidth="29040" windowHeight="15840" xr2:uid="{7A570A04-41C1-42DA-8E5E-2AE9128D903A}"/>
  </bookViews>
  <sheets>
    <sheet name="Introduction" sheetId="2" r:id="rId1"/>
    <sheet name="N fert adjustment calculator" sheetId="1" r:id="rId2"/>
    <sheet name="N Application split guidance" sheetId="3" r:id="rId3"/>
    <sheet name="Yield impact equations"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 l="1"/>
  <c r="C56" i="1" l="1"/>
  <c r="N44" i="1"/>
  <c r="N46" i="1" s="1"/>
  <c r="I44" i="1"/>
  <c r="I46" i="1" s="1"/>
  <c r="I49" i="1" s="1"/>
  <c r="C44" i="1"/>
  <c r="C46" i="1" s="1"/>
  <c r="C49" i="1" s="1"/>
  <c r="N18" i="1"/>
  <c r="N20" i="1" s="1"/>
  <c r="I18" i="1"/>
  <c r="I20" i="1" s="1"/>
  <c r="C18" i="1"/>
  <c r="C20" i="1" s="1"/>
  <c r="C23" i="1" s="1"/>
  <c r="I23" i="1" l="1"/>
  <c r="D8" i="4" s="1"/>
  <c r="N23" i="1"/>
  <c r="E8" i="4" s="1"/>
  <c r="C8" i="4"/>
  <c r="C12" i="4"/>
  <c r="C52" i="1" s="1"/>
  <c r="C11" i="4"/>
  <c r="D12" i="4"/>
  <c r="D11" i="4"/>
  <c r="N24" i="1"/>
  <c r="N30" i="1" s="1"/>
  <c r="C24" i="1"/>
  <c r="C30" i="1" s="1"/>
  <c r="I24" i="1"/>
  <c r="I30" i="1" s="1"/>
  <c r="C50" i="1"/>
  <c r="C54" i="1"/>
  <c r="N49" i="1"/>
  <c r="I53" i="1"/>
  <c r="I50" i="1"/>
  <c r="I56" i="1" s="1"/>
  <c r="I54" i="1"/>
  <c r="H49" i="1"/>
  <c r="B49" i="1"/>
  <c r="H23" i="1" l="1"/>
  <c r="I28" i="1"/>
  <c r="D6" i="4"/>
  <c r="D9" i="4"/>
  <c r="D7" i="4"/>
  <c r="M23" i="1"/>
  <c r="E7" i="4"/>
  <c r="N26" i="1" s="1"/>
  <c r="N27" i="1" s="1"/>
  <c r="M27" i="1" s="1"/>
  <c r="N28" i="1"/>
  <c r="E6" i="4"/>
  <c r="D5" i="4"/>
  <c r="E9" i="4"/>
  <c r="E5" i="4"/>
  <c r="I26" i="1"/>
  <c r="I27" i="1" s="1"/>
  <c r="H27" i="1" s="1"/>
  <c r="C5" i="4"/>
  <c r="C9" i="4"/>
  <c r="B23" i="1"/>
  <c r="C6" i="4"/>
  <c r="C28" i="1"/>
  <c r="C7" i="4"/>
  <c r="E11" i="4"/>
  <c r="N52" i="1" s="1"/>
  <c r="N53" i="1" s="1"/>
  <c r="M53" i="1" s="1"/>
  <c r="E12" i="4"/>
  <c r="C53" i="1"/>
  <c r="N54" i="1"/>
  <c r="H54" i="1"/>
  <c r="H53" i="1"/>
  <c r="N50" i="1"/>
  <c r="N56" i="1" s="1"/>
  <c r="M49" i="1"/>
  <c r="C26" i="1" l="1"/>
  <c r="C27" i="1" s="1"/>
  <c r="B27" i="1" s="1"/>
  <c r="H28" i="1"/>
  <c r="M28" i="1"/>
  <c r="B53" i="1"/>
  <c r="B54" i="1"/>
  <c r="M54" i="1"/>
  <c r="B28" i="1" l="1"/>
</calcChain>
</file>

<file path=xl/sharedStrings.xml><?xml version="1.0" encoding="utf-8"?>
<sst xmlns="http://schemas.openxmlformats.org/spreadsheetml/2006/main" count="166" uniqueCount="68">
  <si>
    <t>Adjusting your nitrogen application based on fertiliser and grain/seed price</t>
  </si>
  <si>
    <t>For CEREALS</t>
  </si>
  <si>
    <t>For OILSEEDS</t>
  </si>
  <si>
    <t>Nitrogen content of fertiliser (%)</t>
  </si>
  <si>
    <t>Expected grain price (£/tonne)</t>
  </si>
  <si>
    <t>Expected seed price (£/tonne)</t>
  </si>
  <si>
    <t>Area planted (ha)</t>
  </si>
  <si>
    <t>Cost of fertiliser (£/kg of nitrogen)</t>
  </si>
  <si>
    <t>Break-even ratio (Number of kilos of grain to pay for 1 kilo of N fertiliser)</t>
  </si>
  <si>
    <t>Column1</t>
  </si>
  <si>
    <t>Column2</t>
  </si>
  <si>
    <t>Your adjusted nitrogen application rate</t>
  </si>
  <si>
    <t>Estimated affect on yield</t>
  </si>
  <si>
    <t>t/ha</t>
  </si>
  <si>
    <t>£/ha</t>
  </si>
  <si>
    <t>Total N fertiliser product required</t>
  </si>
  <si>
    <t>tonnes</t>
  </si>
  <si>
    <t>Disclaimer</t>
  </si>
  <si>
    <t>While the Agriculture and Horticulture Development Board seeks to ensure that the information contained within this document is accurate at the time of publishing,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</si>
  <si>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 xml:space="preserve"> ©Agriculture and Horticulture Development Board 2021. All rights reserved.</t>
  </si>
  <si>
    <t>Contact us</t>
  </si>
  <si>
    <t>Head office address</t>
  </si>
  <si>
    <t>Agriculture and Horticulture Development Board 
Stoneleigh Park 
Kenilworth 
Warwickshire 
CV8 2TL</t>
  </si>
  <si>
    <t>Telephone</t>
  </si>
  <si>
    <t>024 7669 2051</t>
  </si>
  <si>
    <t>Email</t>
  </si>
  <si>
    <t>mark.topliff@ahdb.org.uk</t>
  </si>
  <si>
    <t>Website</t>
  </si>
  <si>
    <t>ahdb.org.uk</t>
  </si>
  <si>
    <t>Click here to go to N fertiliser adjustment calculator</t>
  </si>
  <si>
    <r>
      <rPr>
        <b/>
        <u/>
        <sz val="36"/>
        <color theme="9"/>
        <rFont val="Calibri"/>
        <family val="2"/>
        <scheme val="minor"/>
      </rPr>
      <t>Step 1</t>
    </r>
    <r>
      <rPr>
        <b/>
        <sz val="36"/>
        <color theme="9"/>
        <rFont val="Calibri"/>
        <family val="2"/>
        <scheme val="minor"/>
      </rPr>
      <t xml:space="preserve">
</t>
    </r>
    <r>
      <rPr>
        <b/>
        <sz val="20"/>
        <color theme="9"/>
        <rFont val="Calibri"/>
        <family val="2"/>
        <scheme val="minor"/>
      </rPr>
      <t>Enter your figures in the orange boxes</t>
    </r>
  </si>
  <si>
    <r>
      <rPr>
        <b/>
        <u/>
        <sz val="36"/>
        <color theme="9"/>
        <rFont val="Calibri"/>
        <family val="2"/>
        <scheme val="minor"/>
      </rPr>
      <t>Step 2</t>
    </r>
    <r>
      <rPr>
        <b/>
        <sz val="36"/>
        <color theme="9"/>
        <rFont val="Calibri"/>
        <family val="2"/>
        <scheme val="minor"/>
      </rPr>
      <t xml:space="preserve">
</t>
    </r>
    <r>
      <rPr>
        <b/>
        <sz val="20"/>
        <color theme="9"/>
        <rFont val="Calibri"/>
        <family val="2"/>
        <scheme val="minor"/>
      </rPr>
      <t>Get your results</t>
    </r>
  </si>
  <si>
    <r>
      <t xml:space="preserve">Cereal crop 1 name </t>
    </r>
    <r>
      <rPr>
        <sz val="14"/>
        <color theme="0"/>
        <rFont val="Ubuntu"/>
        <family val="2"/>
      </rPr>
      <t>(optional)</t>
    </r>
  </si>
  <si>
    <r>
      <t xml:space="preserve">Cereal crop 2 name </t>
    </r>
    <r>
      <rPr>
        <sz val="14"/>
        <color theme="0"/>
        <rFont val="Ubuntu"/>
        <family val="2"/>
      </rPr>
      <t>(optional)</t>
    </r>
  </si>
  <si>
    <r>
      <t xml:space="preserve">Cereal crop 3 name </t>
    </r>
    <r>
      <rPr>
        <sz val="14"/>
        <color theme="0"/>
        <rFont val="Ubuntu"/>
        <family val="2"/>
      </rPr>
      <t>(optional)</t>
    </r>
  </si>
  <si>
    <r>
      <t xml:space="preserve">Oilseed crop 1 name </t>
    </r>
    <r>
      <rPr>
        <sz val="14"/>
        <color theme="0"/>
        <rFont val="Ubuntu"/>
        <family val="2"/>
      </rPr>
      <t>(optional)</t>
    </r>
  </si>
  <si>
    <r>
      <t xml:space="preserve">Oilseed crop 2 name </t>
    </r>
    <r>
      <rPr>
        <sz val="14"/>
        <color theme="0"/>
        <rFont val="Ubuntu"/>
        <family val="2"/>
      </rPr>
      <t>(optional)</t>
    </r>
  </si>
  <si>
    <r>
      <t xml:space="preserve">Oilseed crop 3 name </t>
    </r>
    <r>
      <rPr>
        <sz val="14"/>
        <color theme="0"/>
        <rFont val="Ubuntu"/>
        <family val="2"/>
      </rPr>
      <t>(optional)</t>
    </r>
  </si>
  <si>
    <t>Cereal crop 1 results</t>
  </si>
  <si>
    <t>Cereal crop 2 results</t>
  </si>
  <si>
    <t>Cereal crop 3 results</t>
  </si>
  <si>
    <t>Oilseed crop 1 results</t>
  </si>
  <si>
    <t>Oilseed crop 2 results</t>
  </si>
  <si>
    <t>Source: Based on tables 2.1, 2.2, 2.3 and figure 2.1 in the "Review of how best to respond to expensive fertiliser nitrogen for use in 2022 - ADAS report November 2021"</t>
  </si>
  <si>
    <t>Nitrogen fertiliser adjustment calculator</t>
  </si>
  <si>
    <t>Your typical/recommended nitrogen rate* (kg N/ha)</t>
  </si>
  <si>
    <t>Note: *application rate of nitrogen (not fertiliser product) assuming applied at the typical recommended rate for the crop circumstances</t>
  </si>
  <si>
    <t>Fertiliser price (£/tonne product)</t>
  </si>
  <si>
    <t>kg N/ha</t>
  </si>
  <si>
    <t>Guidance on the splitting of nitrogen applications</t>
  </si>
  <si>
    <t>Click here to go back to calculator</t>
  </si>
  <si>
    <t>Click here to go to N application split guidance</t>
  </si>
  <si>
    <t>Winter wheat</t>
  </si>
  <si>
    <t>Winter barley</t>
  </si>
  <si>
    <t>Spring barley</t>
  </si>
  <si>
    <t>Winter OSR</t>
  </si>
  <si>
    <t>Other cereal</t>
  </si>
  <si>
    <t>Yield impact equation crop 1</t>
  </si>
  <si>
    <t>Yield impact equation crop 2</t>
  </si>
  <si>
    <t>Yield impact equation crop 3</t>
  </si>
  <si>
    <t>Other oilseeds</t>
  </si>
  <si>
    <r>
      <t xml:space="preserve">Crop type </t>
    </r>
    <r>
      <rPr>
        <sz val="14"/>
        <color theme="0"/>
        <rFont val="Ubuntu"/>
        <family val="2"/>
      </rPr>
      <t>(click in box and on arrow to select)</t>
    </r>
  </si>
  <si>
    <t>Crop type</t>
  </si>
  <si>
    <t>Oats</t>
  </si>
  <si>
    <t>Crop type yield impact equations</t>
  </si>
  <si>
    <r>
      <rPr>
        <sz val="20"/>
        <color theme="1"/>
        <rFont val="Calibri"/>
        <family val="2"/>
        <scheme val="minor"/>
      </rPr>
      <t>Fertiliser prices increased? Grain prices gone down? How much nitrogen fertiliser can I afford to spread?</t>
    </r>
    <r>
      <rPr>
        <sz val="16"/>
        <rFont val="Calibri"/>
        <family val="2"/>
        <scheme val="minor"/>
      </rPr>
      <t xml:space="preserve">
This spreadsheet calculator will provide a guide on how much to adjust your nitrogen fertiliser application due to changes in prices. The calculations and recommendations are based on the revised RB209 fertiliser guidance.
Choose the crop type and after entering just five figures per crop, the tool will provide a recommended change in nitrogen application, the estimated yield and income impact, fertiliser cost saving and total tonnage of fertiliser product required. Results are provided for three cereals crops and three oilseeds crops side by side.
</t>
    </r>
    <r>
      <rPr>
        <b/>
        <sz val="16"/>
        <rFont val="Calibri"/>
        <family val="2"/>
        <scheme val="minor"/>
      </rPr>
      <t>PLEASE NOTE: The figures provided should be used as a guide only to aid decision making as local adjustments may be required to fit individual circumstances</t>
    </r>
    <r>
      <rPr>
        <sz val="16"/>
        <rFont val="Calibri"/>
        <family val="2"/>
        <scheme val="minor"/>
      </rPr>
      <t xml:space="preserve">
Click on the button below and enter your figures into the orange boxes to find out if you need to adjust your nitrogen fertiliser application.</t>
    </r>
  </si>
  <si>
    <r>
      <t xml:space="preserve">   The calculator assumes you are applying the RB209 recommended nitrogen application rate to begin with.
   </t>
    </r>
    <r>
      <rPr>
        <b/>
        <sz val="11"/>
        <color rgb="FFFF0000"/>
        <rFont val="Ubuntu"/>
        <family val="2"/>
      </rPr>
      <t>PLEASE NOTE: The nitrogen response equation is currently being updated to accommodate N fertiliser prices above £1,300/t. Values above £1,300 will currently return a invalid result. We hope to make a updated version available as
   soon as possible.</t>
    </r>
  </si>
  <si>
    <t>Version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</si>
</sst>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0.0%"/>
    <numFmt numFmtId="166" formatCode="0.0"/>
    <numFmt numFmtId="167" formatCode="&quot;£&quot;#,##0.00"/>
    <numFmt numFmtId="168" formatCode="###&quot;kg N&quot;"/>
    <numFmt numFmtId="169" formatCode="####&quot;ha&quot;"/>
  </numFmts>
  <fonts count="45" x14ac:knownFonts="1">
    <font>
      <sz val="11"/>
      <color theme="1"/>
      <name val="Calibri"/>
      <family val="2"/>
      <scheme val="minor"/>
    </font>
    <font>
      <sz val="11"/>
      <color rgb="FF3F3F76"/>
      <name val="Calibri"/>
      <family val="2"/>
      <scheme val="minor"/>
    </font>
    <font>
      <i/>
      <sz val="11"/>
      <color rgb="FF7F7F7F"/>
      <name val="Calibri"/>
      <family val="2"/>
      <scheme val="minor"/>
    </font>
    <font>
      <b/>
      <sz val="11"/>
      <color rgb="FF3F3F3F"/>
      <name val="Calibri"/>
      <family val="2"/>
      <scheme val="minor"/>
    </font>
    <font>
      <u/>
      <sz val="11"/>
      <color theme="10"/>
      <name val="Calibri"/>
      <family val="2"/>
      <scheme val="minor"/>
    </font>
    <font>
      <sz val="36"/>
      <color rgb="FF0070C0"/>
      <name val="Ubuntu"/>
      <family val="2"/>
    </font>
    <font>
      <b/>
      <sz val="16"/>
      <name val="Calibri"/>
      <family val="2"/>
      <scheme val="minor"/>
    </font>
    <font>
      <sz val="16"/>
      <name val="Calibri"/>
      <family val="2"/>
      <scheme val="minor"/>
    </font>
    <font>
      <sz val="10"/>
      <color rgb="FF000000"/>
      <name val="Arial"/>
      <family val="2"/>
    </font>
    <font>
      <b/>
      <sz val="12"/>
      <color rgb="FF95C11F"/>
      <name val="Arial"/>
      <family val="2"/>
    </font>
    <font>
      <b/>
      <sz val="12"/>
      <color rgb="FFE42313"/>
      <name val="Arial"/>
      <family val="2"/>
    </font>
    <font>
      <sz val="10"/>
      <color theme="1"/>
      <name val="Calibri"/>
      <family val="2"/>
      <scheme val="minor"/>
    </font>
    <font>
      <sz val="12"/>
      <color theme="1"/>
      <name val="Arial"/>
      <family val="2"/>
    </font>
    <font>
      <sz val="12"/>
      <color rgb="FF575756"/>
      <name val="Arial"/>
      <family val="2"/>
    </font>
    <font>
      <b/>
      <sz val="12"/>
      <color theme="1"/>
      <name val="Arial"/>
      <family val="2"/>
    </font>
    <font>
      <u/>
      <sz val="10"/>
      <color theme="10"/>
      <name val="Calibri"/>
      <family val="2"/>
      <scheme val="minor"/>
    </font>
    <font>
      <u/>
      <sz val="12"/>
      <color theme="10"/>
      <name val="Arial"/>
      <family val="2"/>
    </font>
    <font>
      <b/>
      <u/>
      <sz val="12"/>
      <color rgb="FFE42313"/>
      <name val="Arial"/>
      <family val="2"/>
    </font>
    <font>
      <b/>
      <u/>
      <sz val="11"/>
      <color theme="1"/>
      <name val="Ubuntu"/>
      <family val="2"/>
    </font>
    <font>
      <sz val="11"/>
      <color theme="1"/>
      <name val="Ubuntu"/>
      <family val="2"/>
    </font>
    <font>
      <i/>
      <sz val="11"/>
      <color rgb="FF7F7F7F"/>
      <name val="Ubuntu"/>
      <family val="2"/>
    </font>
    <font>
      <b/>
      <sz val="16"/>
      <color theme="1"/>
      <name val="Ubuntu"/>
      <family val="2"/>
    </font>
    <font>
      <b/>
      <sz val="14"/>
      <color theme="0"/>
      <name val="Ubuntu"/>
      <family val="2"/>
    </font>
    <font>
      <b/>
      <sz val="11"/>
      <color theme="4"/>
      <name val="Ubuntu"/>
      <family val="2"/>
    </font>
    <font>
      <sz val="11"/>
      <color theme="4"/>
      <name val="Ubuntu"/>
      <family val="2"/>
    </font>
    <font>
      <sz val="14"/>
      <color theme="1"/>
      <name val="Ubuntu"/>
      <family val="2"/>
    </font>
    <font>
      <sz val="14"/>
      <color rgb="FF3F3F76"/>
      <name val="Ubuntu"/>
      <family val="2"/>
    </font>
    <font>
      <b/>
      <sz val="14"/>
      <color theme="1"/>
      <name val="Ubuntu"/>
      <family val="2"/>
    </font>
    <font>
      <sz val="48"/>
      <color rgb="FF0070C0"/>
      <name val="Ubuntu"/>
      <family val="2"/>
    </font>
    <font>
      <sz val="28"/>
      <color rgb="FF0070C0"/>
      <name val="Ubuntu"/>
      <family val="2"/>
    </font>
    <font>
      <b/>
      <sz val="36"/>
      <color theme="9"/>
      <name val="Calibri"/>
      <family val="2"/>
      <scheme val="minor"/>
    </font>
    <font>
      <b/>
      <u/>
      <sz val="36"/>
      <color theme="9"/>
      <name val="Calibri"/>
      <family val="2"/>
      <scheme val="minor"/>
    </font>
    <font>
      <b/>
      <sz val="20"/>
      <color theme="9"/>
      <name val="Calibri"/>
      <family val="2"/>
      <scheme val="minor"/>
    </font>
    <font>
      <sz val="14"/>
      <color theme="0"/>
      <name val="Ubuntu"/>
      <family val="2"/>
    </font>
    <font>
      <i/>
      <sz val="12"/>
      <color theme="1"/>
      <name val="Ubuntu"/>
      <family val="2"/>
    </font>
    <font>
      <sz val="20"/>
      <color theme="1"/>
      <name val="Calibri"/>
      <family val="2"/>
      <scheme val="minor"/>
    </font>
    <font>
      <sz val="12"/>
      <color theme="1"/>
      <name val="Ubuntu"/>
      <family val="2"/>
    </font>
    <font>
      <b/>
      <sz val="11"/>
      <color theme="1"/>
      <name val="Ubuntu"/>
      <family val="2"/>
    </font>
    <font>
      <sz val="16"/>
      <color theme="1"/>
      <name val="Ubuntu"/>
      <family val="2"/>
    </font>
    <font>
      <u/>
      <sz val="14"/>
      <name val="Calibri"/>
      <family val="2"/>
      <scheme val="minor"/>
    </font>
    <font>
      <u/>
      <sz val="11"/>
      <name val="Calibri"/>
      <family val="2"/>
      <scheme val="minor"/>
    </font>
    <font>
      <sz val="8"/>
      <name val="Calibri"/>
      <family val="2"/>
      <scheme val="minor"/>
    </font>
    <font>
      <sz val="11"/>
      <color theme="1"/>
      <name val="Calibri"/>
      <family val="2"/>
    </font>
    <font>
      <b/>
      <sz val="11"/>
      <color theme="1"/>
      <name val="Calibri"/>
      <family val="2"/>
      <scheme val="minor"/>
    </font>
    <font>
      <b/>
      <sz val="11"/>
      <color rgb="FFFF0000"/>
      <name val="Ubuntu"/>
      <family val="2"/>
    </font>
  </fonts>
  <fills count="7">
    <fill>
      <patternFill patternType="none"/>
    </fill>
    <fill>
      <patternFill patternType="gray125"/>
    </fill>
    <fill>
      <patternFill patternType="solid">
        <fgColor rgb="FFFFCC99"/>
      </patternFill>
    </fill>
    <fill>
      <patternFill patternType="solid">
        <fgColor theme="4"/>
        <bgColor theme="4"/>
      </patternFill>
    </fill>
    <fill>
      <patternFill patternType="solid">
        <fgColor theme="4" tint="0.79998168889431442"/>
        <bgColor theme="4" tint="0.79998168889431442"/>
      </patternFill>
    </fill>
    <fill>
      <patternFill patternType="solid">
        <fgColor rgb="FFF2F2F2"/>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4" tint="0.39997558519241921"/>
      </bottom>
      <diagonal/>
    </border>
    <border>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style="medium">
        <color indexed="64"/>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medium">
        <color indexed="64"/>
      </right>
      <top style="thin">
        <color theme="4" tint="0.39997558519241921"/>
      </top>
      <bottom style="thin">
        <color theme="4" tint="0.39997558519241921"/>
      </bottom>
      <diagonal/>
    </border>
    <border>
      <left style="medium">
        <color indexed="64"/>
      </left>
      <right/>
      <top style="thin">
        <color theme="4" tint="0.39997558519241921"/>
      </top>
      <bottom style="medium">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thin">
        <color indexed="64"/>
      </bottom>
      <diagonal/>
    </border>
    <border>
      <left/>
      <right style="medium">
        <color theme="1" tint="0.499984740745262"/>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bottom/>
      <diagonal/>
    </border>
    <border>
      <left/>
      <right/>
      <top style="medium">
        <color rgb="FF0082CA"/>
      </top>
      <bottom/>
      <diagonal/>
    </border>
    <border>
      <left/>
      <right/>
      <top/>
      <bottom style="medium">
        <color rgb="FF0082CA"/>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3F3F3F"/>
      </right>
      <top style="medium">
        <color indexed="64"/>
      </top>
      <bottom style="medium">
        <color indexed="64"/>
      </bottom>
      <diagonal/>
    </border>
    <border>
      <left style="thin">
        <color rgb="FF3F3F3F"/>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1" fillId="2" borderId="1" applyNumberFormat="0" applyAlignment="0" applyProtection="0"/>
    <xf numFmtId="0" fontId="2" fillId="0" borderId="0" applyNumberFormat="0" applyFill="0" applyBorder="0" applyAlignment="0" applyProtection="0"/>
    <xf numFmtId="0" fontId="3" fillId="5" borderId="16" applyNumberFormat="0" applyAlignment="0" applyProtection="0"/>
    <xf numFmtId="0" fontId="4" fillId="0" borderId="0" applyNumberFormat="0" applyFill="0" applyBorder="0" applyAlignment="0" applyProtection="0"/>
    <xf numFmtId="0" fontId="8" fillId="0" borderId="0"/>
    <xf numFmtId="4" fontId="11" fillId="0" borderId="0">
      <alignment horizontal="left" vertical="top"/>
    </xf>
    <xf numFmtId="39" fontId="15" fillId="0" borderId="0" applyFill="0" applyBorder="0" applyAlignment="0" applyProtection="0"/>
  </cellStyleXfs>
  <cellXfs count="106">
    <xf numFmtId="0" fontId="0" fillId="0" borderId="0" xfId="0"/>
    <xf numFmtId="0" fontId="5" fillId="0" borderId="0" xfId="0" applyFont="1"/>
    <xf numFmtId="0" fontId="0" fillId="0" borderId="18" xfId="0" applyBorder="1"/>
    <xf numFmtId="0" fontId="0" fillId="0" borderId="22" xfId="0" applyBorder="1"/>
    <xf numFmtId="0" fontId="9" fillId="6" borderId="23" xfId="5" applyFont="1" applyFill="1" applyBorder="1" applyAlignment="1">
      <alignment vertical="center"/>
    </xf>
    <xf numFmtId="0" fontId="10" fillId="0" borderId="0" xfId="5" applyFont="1" applyAlignment="1">
      <alignment vertical="center"/>
    </xf>
    <xf numFmtId="4" fontId="10" fillId="0" borderId="0" xfId="6" applyFont="1" applyAlignment="1">
      <alignment horizontal="left" vertical="top" wrapText="1"/>
    </xf>
    <xf numFmtId="4" fontId="10" fillId="0" borderId="0" xfId="6" applyFont="1" applyAlignment="1">
      <alignment vertical="top" wrapText="1"/>
    </xf>
    <xf numFmtId="4" fontId="14" fillId="6" borderId="0" xfId="6" applyFont="1" applyFill="1" applyAlignment="1">
      <alignment vertical="top" wrapText="1"/>
    </xf>
    <xf numFmtId="4" fontId="12" fillId="6" borderId="0" xfId="6" applyFont="1" applyFill="1">
      <alignment horizontal="left" vertical="top"/>
    </xf>
    <xf numFmtId="4" fontId="14" fillId="6" borderId="0" xfId="6" applyFont="1" applyFill="1" applyAlignment="1">
      <alignment vertical="top"/>
    </xf>
    <xf numFmtId="4" fontId="14" fillId="6" borderId="0" xfId="6" applyFont="1" applyFill="1">
      <alignment horizontal="left" vertical="top"/>
    </xf>
    <xf numFmtId="39" fontId="4" fillId="6" borderId="0" xfId="4" applyNumberFormat="1" applyFill="1" applyAlignment="1">
      <alignment horizontal="left" vertical="top"/>
    </xf>
    <xf numFmtId="39" fontId="16" fillId="6" borderId="0" xfId="7" applyFont="1" applyFill="1" applyAlignment="1">
      <alignment horizontal="left" vertical="top"/>
    </xf>
    <xf numFmtId="39" fontId="16" fillId="6" borderId="0" xfId="7" applyFont="1" applyFill="1" applyAlignment="1">
      <alignment vertical="top"/>
    </xf>
    <xf numFmtId="0" fontId="10" fillId="0" borderId="24" xfId="5" applyFont="1" applyBorder="1" applyAlignment="1">
      <alignment vertical="center"/>
    </xf>
    <xf numFmtId="0" fontId="17" fillId="0" borderId="24" xfId="5" applyFont="1" applyBorder="1" applyAlignment="1">
      <alignment vertical="center"/>
    </xf>
    <xf numFmtId="0" fontId="19" fillId="0" borderId="0" xfId="0" applyFont="1"/>
    <xf numFmtId="0" fontId="20" fillId="0" borderId="0" xfId="2" applyFont="1"/>
    <xf numFmtId="0" fontId="21" fillId="0" borderId="0" xfId="0" applyFont="1"/>
    <xf numFmtId="0" fontId="20" fillId="0" borderId="0" xfId="2" applyFont="1" applyBorder="1"/>
    <xf numFmtId="0" fontId="22" fillId="3" borderId="2" xfId="0" applyFont="1" applyFill="1" applyBorder="1"/>
    <xf numFmtId="0" fontId="24" fillId="0" borderId="0" xfId="0" applyFont="1"/>
    <xf numFmtId="0" fontId="25" fillId="4" borderId="3" xfId="0" applyFont="1" applyFill="1" applyBorder="1"/>
    <xf numFmtId="0" fontId="25" fillId="0" borderId="0" xfId="0" applyFont="1"/>
    <xf numFmtId="0" fontId="25" fillId="0" borderId="3" xfId="0" applyFont="1" applyBorder="1"/>
    <xf numFmtId="166" fontId="25" fillId="0" borderId="4" xfId="0" applyNumberFormat="1" applyFont="1" applyBorder="1"/>
    <xf numFmtId="167" fontId="25" fillId="4" borderId="4" xfId="0" applyNumberFormat="1" applyFont="1" applyFill="1" applyBorder="1"/>
    <xf numFmtId="1" fontId="25" fillId="4" borderId="4" xfId="0" applyNumberFormat="1" applyFont="1" applyFill="1" applyBorder="1"/>
    <xf numFmtId="0" fontId="25" fillId="0" borderId="0" xfId="0" applyFont="1" applyAlignment="1">
      <alignment vertical="center"/>
    </xf>
    <xf numFmtId="0" fontId="25" fillId="0" borderId="5" xfId="0" applyFont="1" applyBorder="1" applyAlignment="1">
      <alignment vertical="center" wrapText="1"/>
    </xf>
    <xf numFmtId="166" fontId="25" fillId="0" borderId="6" xfId="0" applyNumberFormat="1" applyFont="1" applyBorder="1" applyAlignment="1">
      <alignment vertical="center"/>
    </xf>
    <xf numFmtId="0" fontId="25" fillId="0" borderId="0" xfId="0" applyFont="1" applyAlignment="1">
      <alignment vertical="center" wrapText="1"/>
    </xf>
    <xf numFmtId="166" fontId="19" fillId="0" borderId="0" xfId="0" applyNumberFormat="1" applyFont="1"/>
    <xf numFmtId="0" fontId="19" fillId="0" borderId="0" xfId="0" applyFont="1" applyAlignment="1">
      <alignment wrapText="1"/>
    </xf>
    <xf numFmtId="0" fontId="27" fillId="0" borderId="0" xfId="0" applyFont="1"/>
    <xf numFmtId="0" fontId="22" fillId="3" borderId="7" xfId="0" applyFont="1" applyFill="1" applyBorder="1"/>
    <xf numFmtId="0" fontId="23" fillId="3" borderId="8" xfId="0" applyFont="1" applyFill="1" applyBorder="1"/>
    <xf numFmtId="0" fontId="23" fillId="3" borderId="9" xfId="0" applyFont="1" applyFill="1" applyBorder="1"/>
    <xf numFmtId="0" fontId="27" fillId="4" borderId="10" xfId="0" applyFont="1" applyFill="1" applyBorder="1"/>
    <xf numFmtId="1" fontId="27" fillId="4" borderId="11" xfId="0" applyNumberFormat="1" applyFont="1" applyFill="1" applyBorder="1"/>
    <xf numFmtId="0" fontId="27" fillId="4" borderId="12" xfId="0" applyFont="1" applyFill="1" applyBorder="1"/>
    <xf numFmtId="0" fontId="25" fillId="0" borderId="10" xfId="0" applyFont="1" applyBorder="1"/>
    <xf numFmtId="1" fontId="25" fillId="0" borderId="11" xfId="0" applyNumberFormat="1" applyFont="1" applyBorder="1"/>
    <xf numFmtId="0" fontId="25" fillId="0" borderId="12" xfId="0" applyFont="1" applyBorder="1"/>
    <xf numFmtId="0" fontId="19" fillId="4" borderId="10" xfId="0" applyFont="1" applyFill="1" applyBorder="1"/>
    <xf numFmtId="166" fontId="25" fillId="4" borderId="11" xfId="0" applyNumberFormat="1" applyFont="1" applyFill="1" applyBorder="1"/>
    <xf numFmtId="0" fontId="19" fillId="4" borderId="12" xfId="0" applyFont="1" applyFill="1" applyBorder="1"/>
    <xf numFmtId="0" fontId="25" fillId="4" borderId="10" xfId="0" applyFont="1" applyFill="1" applyBorder="1"/>
    <xf numFmtId="1" fontId="25" fillId="4" borderId="11" xfId="0" applyNumberFormat="1" applyFont="1" applyFill="1" applyBorder="1"/>
    <xf numFmtId="0" fontId="25" fillId="4" borderId="12" xfId="0" applyFont="1" applyFill="1" applyBorder="1"/>
    <xf numFmtId="0" fontId="25" fillId="0" borderId="13" xfId="0" applyFont="1" applyBorder="1"/>
    <xf numFmtId="166" fontId="25" fillId="0" borderId="14" xfId="0" applyNumberFormat="1" applyFont="1" applyBorder="1"/>
    <xf numFmtId="0" fontId="25" fillId="0" borderId="15" xfId="0" applyFont="1" applyBorder="1"/>
    <xf numFmtId="0" fontId="28" fillId="0" borderId="0" xfId="0" applyFont="1"/>
    <xf numFmtId="0" fontId="29" fillId="0" borderId="0" xfId="0" applyFont="1"/>
    <xf numFmtId="1" fontId="27" fillId="0" borderId="0" xfId="0" applyNumberFormat="1" applyFont="1"/>
    <xf numFmtId="1" fontId="25" fillId="0" borderId="0" xfId="0" applyNumberFormat="1" applyFont="1"/>
    <xf numFmtId="166" fontId="25" fillId="0" borderId="0" xfId="0" applyNumberFormat="1" applyFont="1"/>
    <xf numFmtId="0" fontId="0" fillId="0" borderId="0" xfId="0" applyAlignment="1">
      <alignment vertical="top"/>
    </xf>
    <xf numFmtId="0" fontId="25" fillId="4" borderId="2" xfId="0" applyFont="1" applyFill="1" applyBorder="1"/>
    <xf numFmtId="0" fontId="34" fillId="0" borderId="0" xfId="0" applyFont="1"/>
    <xf numFmtId="0" fontId="22" fillId="3" borderId="27" xfId="0" applyFont="1" applyFill="1" applyBorder="1"/>
    <xf numFmtId="164" fontId="26" fillId="2" borderId="26" xfId="1" applyNumberFormat="1" applyFont="1" applyBorder="1" applyProtection="1">
      <protection locked="0"/>
    </xf>
    <xf numFmtId="164" fontId="26" fillId="2" borderId="25" xfId="1" applyNumberFormat="1" applyFont="1" applyBorder="1" applyProtection="1">
      <protection locked="0"/>
    </xf>
    <xf numFmtId="165" fontId="26" fillId="2" borderId="17" xfId="1" applyNumberFormat="1" applyFont="1" applyBorder="1" applyProtection="1">
      <protection locked="0"/>
    </xf>
    <xf numFmtId="164" fontId="26" fillId="2" borderId="17" xfId="1" applyNumberFormat="1" applyFont="1" applyBorder="1" applyProtection="1">
      <protection locked="0"/>
    </xf>
    <xf numFmtId="0" fontId="26" fillId="2" borderId="17" xfId="1" applyFont="1" applyBorder="1" applyProtection="1">
      <protection locked="0"/>
    </xf>
    <xf numFmtId="164" fontId="26" fillId="2" borderId="28" xfId="1" applyNumberFormat="1" applyFont="1" applyBorder="1" applyProtection="1">
      <protection locked="0"/>
    </xf>
    <xf numFmtId="168" fontId="26" fillId="2" borderId="17" xfId="1" applyNumberFormat="1" applyFont="1" applyBorder="1" applyProtection="1">
      <protection locked="0"/>
    </xf>
    <xf numFmtId="169" fontId="26" fillId="2" borderId="17" xfId="1" applyNumberFormat="1" applyFont="1" applyBorder="1" applyProtection="1">
      <protection locked="0"/>
    </xf>
    <xf numFmtId="0" fontId="36" fillId="0" borderId="0" xfId="0" applyFont="1"/>
    <xf numFmtId="0" fontId="38" fillId="0" borderId="0" xfId="0" applyFont="1" applyAlignment="1">
      <alignment vertical="top" wrapText="1"/>
    </xf>
    <xf numFmtId="0" fontId="19" fillId="0" borderId="0" xfId="0" applyFont="1" applyAlignment="1">
      <alignment vertical="top" wrapText="1"/>
    </xf>
    <xf numFmtId="0" fontId="28" fillId="0" borderId="0" xfId="0" applyFont="1" applyAlignment="1">
      <alignment vertical="center"/>
    </xf>
    <xf numFmtId="39" fontId="40" fillId="0" borderId="0" xfId="4" applyNumberFormat="1" applyFont="1" applyAlignment="1">
      <alignment horizontal="left" vertical="center"/>
    </xf>
    <xf numFmtId="0" fontId="0" fillId="0" borderId="32" xfId="0" applyBorder="1"/>
    <xf numFmtId="0" fontId="0" fillId="0" borderId="33" xfId="0" applyBorder="1"/>
    <xf numFmtId="0" fontId="0" fillId="0" borderId="34" xfId="0" applyBorder="1"/>
    <xf numFmtId="1" fontId="0" fillId="0" borderId="0" xfId="0" applyNumberFormat="1"/>
    <xf numFmtId="2" fontId="25" fillId="0" borderId="11" xfId="0" applyNumberFormat="1" applyFont="1" applyBorder="1"/>
    <xf numFmtId="0" fontId="42" fillId="0" borderId="0" xfId="0" applyFont="1"/>
    <xf numFmtId="49" fontId="26" fillId="2" borderId="26" xfId="1" applyNumberFormat="1" applyFont="1" applyBorder="1" applyProtection="1">
      <protection locked="0"/>
    </xf>
    <xf numFmtId="2" fontId="25" fillId="0" borderId="0" xfId="0" applyNumberFormat="1" applyFont="1"/>
    <xf numFmtId="0" fontId="0" fillId="0" borderId="0" xfId="0" quotePrefix="1"/>
    <xf numFmtId="0" fontId="43" fillId="0" borderId="0" xfId="0" applyFont="1"/>
    <xf numFmtId="0" fontId="9" fillId="0" borderId="0" xfId="5" applyFont="1" applyAlignment="1">
      <alignment vertical="center"/>
    </xf>
    <xf numFmtId="4" fontId="12" fillId="0" borderId="0" xfId="6" applyFont="1" applyAlignment="1">
      <alignment vertical="top" wrapText="1"/>
    </xf>
    <xf numFmtId="0" fontId="13" fillId="0" borderId="0" xfId="5" applyFont="1" applyAlignment="1">
      <alignment horizontal="left" vertical="center" wrapText="1"/>
    </xf>
    <xf numFmtId="0" fontId="6" fillId="0" borderId="29" xfId="3" applyFont="1" applyFill="1" applyBorder="1" applyAlignment="1" applyProtection="1">
      <alignment horizontal="left" vertical="top" wrapText="1"/>
    </xf>
    <xf numFmtId="0" fontId="6" fillId="0" borderId="30" xfId="3" applyFont="1" applyFill="1" applyBorder="1" applyAlignment="1" applyProtection="1">
      <alignment horizontal="left" vertical="top" wrapText="1"/>
    </xf>
    <xf numFmtId="0" fontId="6" fillId="0" borderId="31" xfId="3" applyFont="1" applyFill="1" applyBorder="1" applyAlignment="1" applyProtection="1">
      <alignment horizontal="left" vertical="top" wrapText="1"/>
    </xf>
    <xf numFmtId="0" fontId="18" fillId="0" borderId="19" xfId="4" applyFont="1" applyFill="1" applyBorder="1" applyAlignment="1" applyProtection="1">
      <alignment horizontal="center" vertical="center"/>
      <protection locked="0"/>
    </xf>
    <xf numFmtId="0" fontId="18" fillId="0" borderId="20" xfId="4" applyFont="1" applyFill="1" applyBorder="1" applyAlignment="1" applyProtection="1">
      <alignment horizontal="center" vertical="center"/>
      <protection locked="0"/>
    </xf>
    <xf numFmtId="0" fontId="18" fillId="0" borderId="21" xfId="4" applyFont="1" applyFill="1" applyBorder="1" applyAlignment="1" applyProtection="1">
      <alignment horizontal="center" vertical="center"/>
      <protection locked="0"/>
    </xf>
    <xf numFmtId="4" fontId="12" fillId="6" borderId="0" xfId="6" applyFont="1" applyFill="1" applyAlignment="1">
      <alignment horizontal="left" vertical="top" wrapText="1"/>
    </xf>
    <xf numFmtId="0" fontId="13" fillId="6" borderId="0" xfId="5" applyFont="1" applyFill="1" applyAlignment="1">
      <alignment horizontal="left" vertical="center" wrapText="1"/>
    </xf>
    <xf numFmtId="0" fontId="13" fillId="6" borderId="24" xfId="5" applyFont="1" applyFill="1" applyBorder="1" applyAlignment="1">
      <alignment horizontal="left" vertical="center" wrapText="1"/>
    </xf>
    <xf numFmtId="0" fontId="30" fillId="0" borderId="4" xfId="0" applyFont="1" applyBorder="1" applyAlignment="1">
      <alignment horizontal="left" vertical="top" wrapText="1"/>
    </xf>
    <xf numFmtId="0" fontId="0" fillId="0" borderId="4" xfId="0" applyBorder="1" applyAlignment="1">
      <alignment vertical="top"/>
    </xf>
    <xf numFmtId="39" fontId="40" fillId="0" borderId="0" xfId="4" applyNumberFormat="1" applyFont="1" applyAlignment="1" applyProtection="1">
      <alignment horizontal="left" vertical="center"/>
      <protection locked="0"/>
    </xf>
    <xf numFmtId="39" fontId="39" fillId="0" borderId="0" xfId="4" applyNumberFormat="1" applyFont="1" applyAlignment="1" applyProtection="1">
      <alignment horizontal="left" vertical="center"/>
      <protection locked="0"/>
    </xf>
    <xf numFmtId="39" fontId="39" fillId="0" borderId="0" xfId="4" applyNumberFormat="1" applyFont="1" applyAlignment="1">
      <alignment horizontal="left" vertical="center"/>
    </xf>
    <xf numFmtId="0" fontId="43" fillId="0" borderId="0" xfId="0" applyFont="1" applyAlignment="1">
      <alignment horizontal="left" vertical="top"/>
    </xf>
    <xf numFmtId="0" fontId="37" fillId="0" borderId="0" xfId="0" applyFont="1" applyAlignment="1">
      <alignment horizontal="left"/>
    </xf>
    <xf numFmtId="0" fontId="37" fillId="0" borderId="0" xfId="0" applyFont="1" applyAlignment="1">
      <alignment horizontal="left" wrapText="1"/>
    </xf>
  </cellXfs>
  <cellStyles count="8">
    <cellStyle name="Explanatory Text" xfId="2" builtinId="53"/>
    <cellStyle name="Hyperlink" xfId="4" builtinId="8"/>
    <cellStyle name="Hyperlink 4" xfId="7" xr:uid="{E79E9959-0B9C-4894-B28D-4AD6CCCE90FD}"/>
    <cellStyle name="Input" xfId="1" builtinId="20"/>
    <cellStyle name="Normal" xfId="0" builtinId="0"/>
    <cellStyle name="Normal 3 3" xfId="6" xr:uid="{07E5797F-35E3-42F4-98CA-5EF57AA50520}"/>
    <cellStyle name="Normal 4 3" xfId="5" xr:uid="{6656D11D-C087-475A-AA01-3F47C1FC77B6}"/>
    <cellStyle name="Output" xfId="3" builtinId="2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4"/>
        <color theme="1"/>
        <name val="Ubuntu"/>
        <family val="2"/>
        <scheme val="none"/>
      </font>
    </dxf>
    <dxf>
      <font>
        <strike val="0"/>
        <outline val="0"/>
        <shadow val="0"/>
        <u val="none"/>
        <vertAlign val="baseline"/>
        <sz val="14"/>
        <name val="Ubuntu"/>
        <family val="2"/>
        <scheme val="none"/>
      </font>
      <numFmt numFmtId="166" formatCode="0.0"/>
    </dxf>
    <dxf>
      <font>
        <strike val="0"/>
        <outline val="0"/>
        <shadow val="0"/>
        <u val="none"/>
        <vertAlign val="baseline"/>
        <name val="Ubuntu"/>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Ubuntu"/>
        <family val="2"/>
        <scheme val="none"/>
      </font>
    </dxf>
    <dxf>
      <font>
        <strike val="0"/>
        <outline val="0"/>
        <shadow val="0"/>
        <u val="none"/>
        <vertAlign val="baseline"/>
        <name val="Ubuntu"/>
        <family val="2"/>
        <scheme val="none"/>
      </font>
    </dxf>
    <dxf>
      <font>
        <b val="0"/>
        <i val="0"/>
        <strike val="0"/>
        <condense val="0"/>
        <extend val="0"/>
        <outline val="0"/>
        <shadow val="0"/>
        <u val="none"/>
        <vertAlign val="baseline"/>
        <sz val="14"/>
        <color theme="1"/>
        <name val="Ubuntu"/>
        <family val="2"/>
        <scheme val="none"/>
      </font>
    </dxf>
    <dxf>
      <font>
        <strike val="0"/>
        <outline val="0"/>
        <shadow val="0"/>
        <u val="none"/>
        <vertAlign val="baseline"/>
        <sz val="14"/>
        <name val="Ubuntu"/>
        <family val="2"/>
        <scheme val="none"/>
      </font>
      <numFmt numFmtId="166" formatCode="0.0"/>
    </dxf>
    <dxf>
      <font>
        <strike val="0"/>
        <outline val="0"/>
        <shadow val="0"/>
        <u val="none"/>
        <vertAlign val="baseline"/>
        <name val="Ubuntu"/>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name val="Ubuntu"/>
        <family val="2"/>
        <scheme val="none"/>
      </font>
    </dxf>
    <dxf>
      <font>
        <strike val="0"/>
        <outline val="0"/>
        <shadow val="0"/>
        <u val="none"/>
        <vertAlign val="baseline"/>
        <name val="Ubuntu"/>
        <family val="2"/>
        <scheme val="none"/>
      </font>
    </dxf>
    <dxf>
      <font>
        <b val="0"/>
        <i val="0"/>
        <strike val="0"/>
        <condense val="0"/>
        <extend val="0"/>
        <outline val="0"/>
        <shadow val="0"/>
        <u val="none"/>
        <vertAlign val="baseline"/>
        <sz val="14"/>
        <color theme="1"/>
        <name val="Ubuntu"/>
        <family val="2"/>
        <scheme val="none"/>
      </font>
    </dxf>
    <dxf>
      <font>
        <strike val="0"/>
        <outline val="0"/>
        <shadow val="0"/>
        <u val="none"/>
        <vertAlign val="baseline"/>
        <name val="Ubuntu"/>
        <family val="2"/>
        <scheme val="none"/>
      </font>
    </dxf>
    <dxf>
      <font>
        <strike val="0"/>
        <outline val="0"/>
        <shadow val="0"/>
        <u val="none"/>
        <vertAlign val="baseline"/>
        <name val="Ubuntu"/>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Ubuntu"/>
        <family val="2"/>
        <scheme val="none"/>
      </font>
    </dxf>
    <dxf>
      <font>
        <strike val="0"/>
        <outline val="0"/>
        <shadow val="0"/>
        <u val="none"/>
        <vertAlign val="baseline"/>
        <name val="Ubuntu"/>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38099</xdr:colOff>
      <xdr:row>0</xdr:row>
      <xdr:rowOff>0</xdr:rowOff>
    </xdr:from>
    <xdr:to>
      <xdr:col>25</xdr:col>
      <xdr:colOff>123825</xdr:colOff>
      <xdr:row>1</xdr:row>
      <xdr:rowOff>801514</xdr:rowOff>
    </xdr:to>
    <xdr:pic>
      <xdr:nvPicPr>
        <xdr:cNvPr id="2" name="Picture 1">
          <a:extLst>
            <a:ext uri="{FF2B5EF4-FFF2-40B4-BE49-F238E27FC236}">
              <a16:creationId xmlns:a16="http://schemas.microsoft.com/office/drawing/2014/main" id="{BE903BAC-D381-4882-A616-F965118CFCAE}"/>
            </a:ext>
          </a:extLst>
        </xdr:cNvPr>
        <xdr:cNvPicPr>
          <a:picLocks noChangeAspect="1"/>
        </xdr:cNvPicPr>
      </xdr:nvPicPr>
      <xdr:blipFill>
        <a:blip xmlns:r="http://schemas.openxmlformats.org/officeDocument/2006/relationships" r:embed="rId1"/>
        <a:stretch>
          <a:fillRect/>
        </a:stretch>
      </xdr:blipFill>
      <xdr:spPr>
        <a:xfrm>
          <a:off x="13668374" y="0"/>
          <a:ext cx="1914526" cy="992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154517</xdr:colOff>
      <xdr:row>4</xdr:row>
      <xdr:rowOff>187681</xdr:rowOff>
    </xdr:to>
    <xdr:pic>
      <xdr:nvPicPr>
        <xdr:cNvPr id="2" name="Picture 1">
          <a:extLst>
            <a:ext uri="{FF2B5EF4-FFF2-40B4-BE49-F238E27FC236}">
              <a16:creationId xmlns:a16="http://schemas.microsoft.com/office/drawing/2014/main" id="{8A03158F-5579-4377-BC1A-F16E20FE607F}"/>
            </a:ext>
          </a:extLst>
        </xdr:cNvPr>
        <xdr:cNvPicPr>
          <a:picLocks noChangeAspect="1"/>
        </xdr:cNvPicPr>
      </xdr:nvPicPr>
      <xdr:blipFill>
        <a:blip xmlns:r="http://schemas.openxmlformats.org/officeDocument/2006/relationships" r:embed="rId1"/>
        <a:stretch>
          <a:fillRect/>
        </a:stretch>
      </xdr:blipFill>
      <xdr:spPr>
        <a:xfrm>
          <a:off x="0" y="0"/>
          <a:ext cx="1932517" cy="9920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1937053</xdr:colOff>
      <xdr:row>1</xdr:row>
      <xdr:rowOff>223060</xdr:rowOff>
    </xdr:to>
    <xdr:pic>
      <xdr:nvPicPr>
        <xdr:cNvPr id="2" name="Picture 1">
          <a:extLst>
            <a:ext uri="{FF2B5EF4-FFF2-40B4-BE49-F238E27FC236}">
              <a16:creationId xmlns:a16="http://schemas.microsoft.com/office/drawing/2014/main" id="{5F1380B6-0961-4983-9203-7D3139250026}"/>
            </a:ext>
          </a:extLst>
        </xdr:cNvPr>
        <xdr:cNvPicPr>
          <a:picLocks noChangeAspect="1"/>
        </xdr:cNvPicPr>
      </xdr:nvPicPr>
      <xdr:blipFill>
        <a:blip xmlns:r="http://schemas.openxmlformats.org/officeDocument/2006/relationships" r:embed="rId1"/>
        <a:stretch>
          <a:fillRect/>
        </a:stretch>
      </xdr:blipFill>
      <xdr:spPr>
        <a:xfrm>
          <a:off x="0" y="0"/>
          <a:ext cx="1937053" cy="1004110"/>
        </a:xfrm>
        <a:prstGeom prst="rect">
          <a:avLst/>
        </a:prstGeom>
      </xdr:spPr>
    </xdr:pic>
    <xdr:clientData/>
  </xdr:twoCellAnchor>
  <xdr:twoCellAnchor>
    <xdr:from>
      <xdr:col>0</xdr:col>
      <xdr:colOff>158751</xdr:colOff>
      <xdr:row>2</xdr:row>
      <xdr:rowOff>31749</xdr:rowOff>
    </xdr:from>
    <xdr:to>
      <xdr:col>0</xdr:col>
      <xdr:colOff>11049001</xdr:colOff>
      <xdr:row>80</xdr:row>
      <xdr:rowOff>21167</xdr:rowOff>
    </xdr:to>
    <xdr:sp macro="" textlink="">
      <xdr:nvSpPr>
        <xdr:cNvPr id="3" name="TextBox 2">
          <a:extLst>
            <a:ext uri="{FF2B5EF4-FFF2-40B4-BE49-F238E27FC236}">
              <a16:creationId xmlns:a16="http://schemas.microsoft.com/office/drawing/2014/main" id="{D2B24A9E-87B4-4D5A-8BEE-0017DADF328B}"/>
            </a:ext>
          </a:extLst>
        </xdr:cNvPr>
        <xdr:cNvSpPr txBox="1"/>
      </xdr:nvSpPr>
      <xdr:spPr>
        <a:xfrm>
          <a:off x="158751" y="2190749"/>
          <a:ext cx="10890250" cy="1498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Ubuntu" panose="020B0504030602030204" pitchFamily="34" charset="0"/>
            </a:rPr>
            <a:t>If the nitrogen application rate is recommended to be reduced (or even increased) the rate at each split should be reduced (or increased) by the same proportion.</a:t>
          </a:r>
        </a:p>
        <a:p>
          <a:endParaRPr lang="en-GB" sz="1400">
            <a:latin typeface="Ubuntu" panose="020B0504030602030204" pitchFamily="34" charset="0"/>
          </a:endParaRPr>
        </a:p>
        <a:p>
          <a:r>
            <a:rPr lang="en-GB" sz="1400">
              <a:latin typeface="Ubuntu" panose="020B0504030602030204" pitchFamily="34" charset="0"/>
            </a:rPr>
            <a:t>For example:</a:t>
          </a:r>
        </a:p>
        <a:p>
          <a:r>
            <a:rPr lang="en-GB" sz="1400">
              <a:latin typeface="Ubuntu" panose="020B0504030602030204" pitchFamily="34" charset="0"/>
            </a:rPr>
            <a:t>If the recommended total N rate is normally 180kg N/ha applied in two applications of 90kg N/ha each time i.e. a 50:50 split</a:t>
          </a:r>
        </a:p>
        <a:p>
          <a:r>
            <a:rPr lang="en-GB" sz="1400">
              <a:latin typeface="Ubuntu" panose="020B0504030602030204" pitchFamily="34" charset="0"/>
            </a:rPr>
            <a:t>and the recommended adjustment is to reduce N application by 50kg N/ha, then split the 50kg N/ha 50:50 over the two applications. Meaning that you would spread 65kg N/ha (90 - (50 ÷ 2) = 65) in each application instead.</a:t>
          </a:r>
        </a:p>
        <a:p>
          <a:endParaRPr lang="en-GB" sz="1400">
            <a:latin typeface="Ubuntu" panose="020B0504030602030204" pitchFamily="34" charset="0"/>
          </a:endParaRPr>
        </a:p>
        <a:p>
          <a:r>
            <a:rPr lang="en-GB" sz="1400" b="1">
              <a:latin typeface="Ubuntu" panose="020B0504030602030204" pitchFamily="34" charset="0"/>
            </a:rPr>
            <a:t>Exceptions to this rule include:</a:t>
          </a:r>
        </a:p>
        <a:p>
          <a:endParaRPr lang="en-GB" sz="1400">
            <a:latin typeface="Ubuntu" panose="020B0504030602030204" pitchFamily="34" charset="0"/>
          </a:endParaRPr>
        </a:p>
        <a:p>
          <a:r>
            <a:rPr lang="en-GB" sz="1400">
              <a:latin typeface="Ubuntu" panose="020B0504030602030204" pitchFamily="34" charset="0"/>
            </a:rPr>
            <a:t>i) Winter barley, spring barley and wheat with a high risk of take-all or low shoot number - for these crops the first split should be maintained at a similar level as would have been used before any reduction in N rate to account for a high Break-Even Ratio (BER).</a:t>
          </a:r>
        </a:p>
        <a:p>
          <a:endParaRPr lang="en-GB" sz="1400">
            <a:latin typeface="Ubuntu" panose="020B0504030602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Ubuntu" panose="020B0504030602030204" pitchFamily="34" charset="0"/>
            </a:rPr>
            <a:t>ii) </a:t>
          </a:r>
          <a:r>
            <a:rPr lang="en-GB" sz="1400" b="0" i="0" baseline="0">
              <a:solidFill>
                <a:schemeClr val="dk1"/>
              </a:solidFill>
              <a:effectLst/>
              <a:latin typeface="Ubuntu" panose="020B0504030602030204" pitchFamily="34" charset="0"/>
              <a:ea typeface="+mn-ea"/>
              <a:cs typeface="+mn-cs"/>
            </a:rPr>
            <a:t>For malting barley, if the estimated break-even ratio (BER) is greater than 5 then </a:t>
          </a:r>
        </a:p>
        <a:p>
          <a:pPr marL="0" marR="0" lvl="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effectLst/>
              <a:latin typeface="Ubuntu" panose="020B0504030602030204" pitchFamily="34" charset="0"/>
              <a:ea typeface="+mn-ea"/>
              <a:cs typeface="+mn-cs"/>
            </a:rPr>
            <a:t>a) estimate the reduction in N rate required for a high BER, </a:t>
          </a:r>
        </a:p>
        <a:p>
          <a:pPr marL="0" marR="0" lvl="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effectLst/>
              <a:latin typeface="Ubuntu" panose="020B0504030602030204" pitchFamily="34" charset="0"/>
              <a:ea typeface="+mn-ea"/>
              <a:cs typeface="+mn-cs"/>
            </a:rPr>
            <a:t>b) independently of (a), estimate the reduction in N from the N rate recommended for feed barley that would normally be applied for your malting barley crop if BER was 5, </a:t>
          </a:r>
        </a:p>
        <a:p>
          <a:pPr marL="0" marR="0" lvl="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effectLst/>
              <a:latin typeface="Ubuntu" panose="020B0504030602030204" pitchFamily="34" charset="0"/>
              <a:ea typeface="+mn-ea"/>
              <a:cs typeface="+mn-cs"/>
            </a:rPr>
            <a:t>c) apply the largest of the N rate reductions estimated by (a) and (b) but NOT both N rate reductions together. </a:t>
          </a:r>
          <a:endParaRPr lang="en-GB" sz="1800">
            <a:effectLst/>
            <a:latin typeface="Ubuntu" panose="020B0504030602030204" pitchFamily="34" charset="0"/>
          </a:endParaRPr>
        </a:p>
        <a:p>
          <a:endParaRPr lang="en-GB" sz="1400" b="0" i="0" u="none" strike="noStrike" baseline="0">
            <a:solidFill>
              <a:schemeClr val="dk1"/>
            </a:solidFill>
            <a:latin typeface="Ubuntu" panose="020B05040306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u="none" strike="noStrike" baseline="0">
              <a:solidFill>
                <a:schemeClr val="dk1"/>
              </a:solidFill>
              <a:latin typeface="Ubuntu" panose="020B0504030602030204" pitchFamily="34" charset="0"/>
              <a:ea typeface="+mn-ea"/>
              <a:cs typeface="+mn-cs"/>
            </a:rPr>
            <a:t>iii) </a:t>
          </a:r>
          <a:r>
            <a:rPr lang="en-GB" sz="1400">
              <a:solidFill>
                <a:schemeClr val="dk1"/>
              </a:solidFill>
              <a:effectLst/>
              <a:latin typeface="Ubuntu" panose="020B0504030602030204" pitchFamily="34" charset="0"/>
              <a:ea typeface="+mn-ea"/>
              <a:cs typeface="+mn-cs"/>
            </a:rPr>
            <a:t>Wheat targeted for bread making market for which the current RB209 guidance for both N rates and timings should be followed.</a:t>
          </a:r>
          <a:r>
            <a:rPr lang="en-GB" sz="1400" baseline="0">
              <a:solidFill>
                <a:schemeClr val="dk1"/>
              </a:solidFill>
              <a:effectLst/>
              <a:latin typeface="Ubuntu" panose="020B0504030602030204" pitchFamily="34" charset="0"/>
              <a:ea typeface="+mn-ea"/>
              <a:cs typeface="+mn-cs"/>
            </a:rPr>
            <a:t> </a:t>
          </a:r>
          <a:r>
            <a:rPr lang="en-GB" sz="1400" b="0" i="0" baseline="0">
              <a:solidFill>
                <a:schemeClr val="dk1"/>
              </a:solidFill>
              <a:effectLst/>
              <a:latin typeface="Ubuntu" panose="020B0504030602030204" pitchFamily="34" charset="0"/>
              <a:ea typeface="+mn-ea"/>
              <a:cs typeface="+mn-cs"/>
            </a:rPr>
            <a:t>In many cases it will still be economically justified to target milling quality, particularly if premiums are £30/t or more. </a:t>
          </a:r>
          <a:endParaRPr lang="en-GB" sz="1800">
            <a:effectLst/>
            <a:latin typeface="Ubuntu" panose="020B0504030602030204" pitchFamily="34" charset="0"/>
          </a:endParaRPr>
        </a:p>
        <a:p>
          <a:endParaRPr lang="en-GB" sz="1400">
            <a:latin typeface="Ubuntu" panose="020B0504030602030204" pitchFamily="34" charset="0"/>
          </a:endParaRPr>
        </a:p>
        <a:p>
          <a:r>
            <a:rPr lang="en-GB" sz="1400">
              <a:latin typeface="Ubuntu" panose="020B0504030602030204" pitchFamily="34" charset="0"/>
            </a:rPr>
            <a:t>It is important not to reduce the first N split to spring barley and winter barley, because the yield of these crops is strongly sink limited, which means they are heavily reliant on the crop achieving many seeds/m2 and ears/m2. Therefore, ensuring that tillering is not restricted by lack of N is particularly important for these crops.</a:t>
          </a:r>
        </a:p>
        <a:p>
          <a:endParaRPr lang="en-GB" sz="1400">
            <a:latin typeface="Ubuntu" panose="020B0504030602030204" pitchFamily="34" charset="0"/>
          </a:endParaRPr>
        </a:p>
        <a:p>
          <a:r>
            <a:rPr lang="en-GB" sz="1600" b="1">
              <a:latin typeface="Ubuntu" panose="020B0504030602030204" pitchFamily="34" charset="0"/>
            </a:rPr>
            <a:t>Current RB209 Nutrient Management Guide nitrogen application splitting advice</a:t>
          </a:r>
        </a:p>
        <a:p>
          <a:endParaRPr lang="en-GB" sz="1400">
            <a:latin typeface="Ubuntu" panose="020B0504030602030204" pitchFamily="34" charset="0"/>
          </a:endParaRPr>
        </a:p>
        <a:p>
          <a:r>
            <a:rPr lang="en-GB" sz="1400" b="1">
              <a:latin typeface="Ubuntu" panose="020B0504030602030204" pitchFamily="34" charset="0"/>
            </a:rPr>
            <a:t>Wheat</a:t>
          </a:r>
        </a:p>
        <a:p>
          <a:r>
            <a:rPr lang="en-GB" sz="1400">
              <a:latin typeface="Ubuntu" panose="020B0504030602030204" pitchFamily="34" charset="0"/>
            </a:rPr>
            <a:t>Less than 120 kg N /ha: Apply in one dose by early stem extension.</a:t>
          </a:r>
        </a:p>
        <a:p>
          <a:r>
            <a:rPr lang="en-GB" sz="1400">
              <a:latin typeface="Ubuntu" panose="020B0504030602030204" pitchFamily="34" charset="0"/>
            </a:rPr>
            <a:t>120 kg N/ha or more: Apply 40 kg N/ha between mid-Feb and mid-March, except where there is a low risk of take-all and shoot numbers are high. Apply remaining N in 1 or 2 dressings during early stem extension.</a:t>
          </a:r>
        </a:p>
        <a:p>
          <a:endParaRPr lang="en-GB" sz="1400">
            <a:latin typeface="Ubuntu" panose="020B0504030602030204" pitchFamily="34" charset="0"/>
          </a:endParaRPr>
        </a:p>
        <a:p>
          <a:r>
            <a:rPr lang="en-GB" sz="1400" b="1">
              <a:latin typeface="Ubuntu" panose="020B0504030602030204" pitchFamily="34" charset="0"/>
            </a:rPr>
            <a:t>Winter barley</a:t>
          </a:r>
        </a:p>
        <a:p>
          <a:r>
            <a:rPr lang="en-GB" sz="1400">
              <a:latin typeface="Ubuntu" panose="020B0504030602030204" pitchFamily="34" charset="0"/>
            </a:rPr>
            <a:t>Less than 100 kg N/ha: Apply as a single dressing by early stem extension.</a:t>
          </a:r>
        </a:p>
        <a:p>
          <a:r>
            <a:rPr lang="en-GB" sz="1400">
              <a:latin typeface="Ubuntu" panose="020B0504030602030204" pitchFamily="34" charset="0"/>
            </a:rPr>
            <a:t>100 to 200 kg N/ha: Apply half during late tillering and half at GS30-31.</a:t>
          </a:r>
        </a:p>
        <a:p>
          <a:r>
            <a:rPr lang="en-GB" sz="1400">
              <a:latin typeface="Ubuntu" panose="020B0504030602030204" pitchFamily="34" charset="0"/>
            </a:rPr>
            <a:t>200 kg N/ha or more: apply 40% during late tillering, 40% at GS30/31 and 20% at GS32.</a:t>
          </a:r>
        </a:p>
        <a:p>
          <a:endParaRPr lang="en-GB" sz="1400">
            <a:latin typeface="Ubuntu" panose="020B0504030602030204" pitchFamily="34" charset="0"/>
          </a:endParaRPr>
        </a:p>
        <a:p>
          <a:r>
            <a:rPr lang="en-GB" sz="1400" b="1">
              <a:latin typeface="Ubuntu" panose="020B0504030602030204" pitchFamily="34" charset="0"/>
            </a:rPr>
            <a:t>Spring barley</a:t>
          </a:r>
        </a:p>
        <a:p>
          <a:r>
            <a:rPr lang="en-GB" sz="1400">
              <a:latin typeface="Ubuntu" panose="020B0504030602030204" pitchFamily="34" charset="0"/>
            </a:rPr>
            <a:t>Apply all nitrogen between the time of drilling and GS30, with at least 40 kg N/ha in the seedbed.</a:t>
          </a:r>
        </a:p>
        <a:p>
          <a:endParaRPr lang="en-GB" sz="1400">
            <a:latin typeface="Ubuntu" panose="020B0504030602030204" pitchFamily="34" charset="0"/>
          </a:endParaRPr>
        </a:p>
        <a:p>
          <a:r>
            <a:rPr lang="en-GB" sz="1400" b="1">
              <a:latin typeface="Ubuntu" panose="020B0504030602030204" pitchFamily="34" charset="0"/>
            </a:rPr>
            <a:t>Oilseed Rape</a:t>
          </a:r>
        </a:p>
        <a:p>
          <a:r>
            <a:rPr lang="en-GB" sz="1400">
              <a:latin typeface="Ubuntu" panose="020B0504030602030204" pitchFamily="34" charset="0"/>
            </a:rPr>
            <a:t>Autumn N</a:t>
          </a:r>
        </a:p>
        <a:p>
          <a:r>
            <a:rPr lang="en-GB" sz="1400">
              <a:latin typeface="Ubuntu" panose="020B0504030602030204" pitchFamily="34" charset="0"/>
            </a:rPr>
            <a:t>If the soil nitrogen supply (SNS) is 2 or lower and the crop is sown before mid-September, apply up to 30 kg N/ha in the autumn.</a:t>
          </a:r>
        </a:p>
        <a:p>
          <a:r>
            <a:rPr lang="en-GB" sz="1400">
              <a:latin typeface="Ubuntu" panose="020B0504030602030204" pitchFamily="34" charset="0"/>
            </a:rPr>
            <a:t>Spring N</a:t>
          </a:r>
        </a:p>
        <a:p>
          <a:r>
            <a:rPr lang="en-GB" sz="1400">
              <a:latin typeface="Ubuntu" panose="020B0504030602030204" pitchFamily="34" charset="0"/>
            </a:rPr>
            <a:t>If GAI is less than 1.5, or less than 2 with low SMN, apply half of the N between end Feb and March and half at green bud.</a:t>
          </a:r>
        </a:p>
        <a:p>
          <a:r>
            <a:rPr lang="en-GB" sz="1400">
              <a:latin typeface="Ubuntu" panose="020B0504030602030204" pitchFamily="34" charset="0"/>
            </a:rPr>
            <a:t>If GAI is above 1.5 to 2, then reduce first split to between zero and 40 kg/ha.</a:t>
          </a:r>
        </a:p>
        <a:p>
          <a:r>
            <a:rPr lang="en-GB" sz="1400">
              <a:latin typeface="Ubuntu" panose="020B0504030602030204" pitchFamily="34" charset="0"/>
            </a:rPr>
            <a:t>Apply any extra N for high expected yield between late green bud and flowering.</a:t>
          </a:r>
        </a:p>
        <a:p>
          <a:endParaRPr lang="en-GB" sz="1400">
            <a:latin typeface="Ubuntu" panose="020B0504030602030204" pitchFamily="34" charset="0"/>
          </a:endParaRPr>
        </a:p>
        <a:p>
          <a:r>
            <a:rPr lang="en-GB" sz="1100" i="1">
              <a:latin typeface="Ubuntu" panose="020B0504030602030204" pitchFamily="34" charset="0"/>
            </a:rPr>
            <a:t>Source: RB209 Nutrient</a:t>
          </a:r>
          <a:r>
            <a:rPr lang="en-GB" sz="1100" i="1" baseline="0">
              <a:latin typeface="Ubuntu" panose="020B0504030602030204" pitchFamily="34" charset="0"/>
            </a:rPr>
            <a:t> Management Guide/ </a:t>
          </a:r>
          <a:r>
            <a:rPr lang="en-GB" sz="1100" b="0" i="1" u="none" strike="noStrike" baseline="0">
              <a:solidFill>
                <a:schemeClr val="dk1"/>
              </a:solidFill>
              <a:latin typeface="Ubuntu" panose="020B0504030602030204" pitchFamily="34" charset="0"/>
              <a:ea typeface="+mn-ea"/>
              <a:cs typeface="+mn-cs"/>
            </a:rPr>
            <a:t>Responding to expensive fertiliser nitrogen for use in 2022 ADAS report, January 2022</a:t>
          </a:r>
        </a:p>
        <a:p>
          <a:endParaRPr lang="en-GB" sz="1400" b="0" i="0" u="none" strike="noStrike" baseline="0">
            <a:solidFill>
              <a:schemeClr val="dk1"/>
            </a:solidFill>
            <a:latin typeface="Ubuntu" panose="020B0504030602030204" pitchFamily="34" charset="0"/>
            <a:ea typeface="+mn-ea"/>
            <a:cs typeface="+mn-cs"/>
          </a:endParaRPr>
        </a:p>
        <a:p>
          <a:r>
            <a:rPr lang="en-GB" sz="1400" b="1">
              <a:solidFill>
                <a:schemeClr val="dk1"/>
              </a:solidFill>
              <a:effectLst/>
              <a:latin typeface="Ubuntu" panose="020B0504030602030204" pitchFamily="34" charset="0"/>
              <a:ea typeface="+mn-ea"/>
              <a:cs typeface="+mn-cs"/>
            </a:rPr>
            <a:t>Winter oats</a:t>
          </a:r>
        </a:p>
        <a:p>
          <a:r>
            <a:rPr lang="en-GB" sz="1400">
              <a:solidFill>
                <a:schemeClr val="dk1"/>
              </a:solidFill>
              <a:effectLst/>
              <a:latin typeface="Ubuntu" panose="020B0504030602030204" pitchFamily="34" charset="0"/>
              <a:ea typeface="+mn-ea"/>
              <a:cs typeface="+mn-cs"/>
            </a:rPr>
            <a:t>The current RB209 recommendations for timing of N for winter oats are as follows:</a:t>
          </a:r>
        </a:p>
        <a:p>
          <a:r>
            <a:rPr lang="en-GB" sz="1400">
              <a:solidFill>
                <a:schemeClr val="dk1"/>
              </a:solidFill>
              <a:effectLst/>
              <a:latin typeface="Ubuntu" panose="020B0504030602030204" pitchFamily="34" charset="0"/>
              <a:ea typeface="+mn-ea"/>
              <a:cs typeface="+mn-cs"/>
            </a:rPr>
            <a:t> </a:t>
          </a:r>
        </a:p>
        <a:p>
          <a:r>
            <a:rPr lang="en-GB" sz="1400">
              <a:solidFill>
                <a:schemeClr val="dk1"/>
              </a:solidFill>
              <a:effectLst/>
              <a:latin typeface="Ubuntu" panose="020B0504030602030204" pitchFamily="34" charset="0"/>
              <a:ea typeface="+mn-ea"/>
              <a:cs typeface="+mn-cs"/>
            </a:rPr>
            <a:t>Less than 100 kg N/ha: Apply as a single dressing by early stem extension, but not before late March</a:t>
          </a:r>
        </a:p>
        <a:p>
          <a:r>
            <a:rPr lang="en-GB" sz="1400">
              <a:solidFill>
                <a:schemeClr val="dk1"/>
              </a:solidFill>
              <a:effectLst/>
              <a:latin typeface="Ubuntu" panose="020B0504030602030204" pitchFamily="34" charset="0"/>
              <a:ea typeface="+mn-ea"/>
              <a:cs typeface="+mn-cs"/>
            </a:rPr>
            <a:t>100 kg N/ha or more: Split the dressing, with 40 kg N/ha in mid-February/ early march</a:t>
          </a:r>
        </a:p>
        <a:p>
          <a:r>
            <a:rPr lang="en-GB" sz="1400">
              <a:solidFill>
                <a:schemeClr val="dk1"/>
              </a:solidFill>
              <a:effectLst/>
              <a:latin typeface="Ubuntu" panose="020B0504030602030204" pitchFamily="34" charset="0"/>
              <a:ea typeface="+mn-ea"/>
              <a:cs typeface="+mn-cs"/>
            </a:rPr>
            <a:t>- If the remaining N is less than 100 kg N/ha, then apply the rest by early stem extension but not before late March</a:t>
          </a:r>
        </a:p>
        <a:p>
          <a:r>
            <a:rPr lang="en-GB" sz="1400">
              <a:solidFill>
                <a:schemeClr val="dk1"/>
              </a:solidFill>
              <a:effectLst/>
              <a:latin typeface="Ubuntu" panose="020B0504030602030204" pitchFamily="34" charset="0"/>
              <a:ea typeface="+mn-ea"/>
              <a:cs typeface="+mn-cs"/>
            </a:rPr>
            <a:t>- If the remaining N is 100 kg N/ha or more, then apply in two dressings, half at early stem extension (not before late March) and half at least two weeks later</a:t>
          </a:r>
        </a:p>
        <a:p>
          <a:r>
            <a:rPr lang="en-GB" sz="1400">
              <a:solidFill>
                <a:schemeClr val="dk1"/>
              </a:solidFill>
              <a:effectLst/>
              <a:latin typeface="Ubuntu" panose="020B0504030602030204" pitchFamily="34" charset="0"/>
              <a:ea typeface="+mn-ea"/>
              <a:cs typeface="+mn-cs"/>
            </a:rPr>
            <a:t>These recommendations assume appropriate measures are taken to control lodging (e.g. choice of variety or use of plant growth regulator). Reduce the recommended rate by 40 kg N/ha if lodging risk is high.</a:t>
          </a:r>
        </a:p>
        <a:p>
          <a:r>
            <a:rPr lang="en-GB" sz="1400">
              <a:solidFill>
                <a:schemeClr val="dk1"/>
              </a:solidFill>
              <a:effectLst/>
              <a:latin typeface="Ubuntu" panose="020B0504030602030204" pitchFamily="34" charset="0"/>
              <a:ea typeface="+mn-ea"/>
              <a:cs typeface="+mn-cs"/>
            </a:rPr>
            <a:t> </a:t>
          </a:r>
        </a:p>
        <a:p>
          <a:r>
            <a:rPr lang="en-GB" sz="1400">
              <a:solidFill>
                <a:schemeClr val="dk1"/>
              </a:solidFill>
              <a:effectLst/>
              <a:latin typeface="Ubuntu" panose="020B0504030602030204" pitchFamily="34" charset="0"/>
              <a:ea typeface="+mn-ea"/>
              <a:cs typeface="+mn-cs"/>
            </a:rPr>
            <a:t>If the total N rate is reduced below the rate currently recommended in RB209 (i.e. for a BER of 5), the rate at each split should be reduced by the same proportion. However, if the crop has a low shoot number the first split should be maintained at a similar level as would have been used before any reduction in N rate to account for a high BER.</a:t>
          </a:r>
        </a:p>
        <a:p>
          <a:endParaRPr lang="en-GB" sz="1400">
            <a:solidFill>
              <a:schemeClr val="dk1"/>
            </a:solidFill>
            <a:effectLst/>
            <a:latin typeface="Ubuntu" panose="020B0504030602030204" pitchFamily="34" charset="0"/>
            <a:ea typeface="+mn-ea"/>
            <a:cs typeface="+mn-cs"/>
          </a:endParaRPr>
        </a:p>
        <a:p>
          <a:r>
            <a:rPr lang="en-GB" sz="1400" b="1">
              <a:solidFill>
                <a:schemeClr val="dk1"/>
              </a:solidFill>
              <a:effectLst/>
              <a:latin typeface="Ubuntu" panose="020B0504030602030204" pitchFamily="34" charset="0"/>
              <a:ea typeface="+mn-ea"/>
              <a:cs typeface="+mn-cs"/>
            </a:rPr>
            <a:t>Spring oats</a:t>
          </a:r>
        </a:p>
        <a:p>
          <a:r>
            <a:rPr lang="en-GB" sz="1400">
              <a:solidFill>
                <a:schemeClr val="dk1"/>
              </a:solidFill>
              <a:effectLst/>
              <a:latin typeface="Ubuntu" panose="020B0504030602030204" pitchFamily="34" charset="0"/>
              <a:ea typeface="+mn-ea"/>
              <a:cs typeface="+mn-cs"/>
            </a:rPr>
            <a:t>There is currently no advice in RB209 as to the most appropriate N timings for spring oats. This knowledge gap is being addressed in the current AHDB NoatS project which is due to report in May 2022. However, the same principles apply as with winter oats described above.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i="1">
            <a:solidFill>
              <a:schemeClr val="dk1"/>
            </a:solidFill>
            <a:effectLst/>
            <a:latin typeface="Ubuntu" panose="020B05040306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i="1">
              <a:solidFill>
                <a:schemeClr val="dk1"/>
              </a:solidFill>
              <a:effectLst/>
              <a:latin typeface="Ubuntu" panose="020B0504030602030204" pitchFamily="34" charset="0"/>
              <a:ea typeface="+mn-ea"/>
              <a:cs typeface="+mn-cs"/>
            </a:rPr>
            <a:t>Source: RB209 Nutrient</a:t>
          </a:r>
          <a:r>
            <a:rPr lang="en-GB" sz="1100" i="1" baseline="0">
              <a:solidFill>
                <a:schemeClr val="dk1"/>
              </a:solidFill>
              <a:effectLst/>
              <a:latin typeface="Ubuntu" panose="020B0504030602030204" pitchFamily="34" charset="0"/>
              <a:ea typeface="+mn-ea"/>
              <a:cs typeface="+mn-cs"/>
            </a:rPr>
            <a:t> Management Guide/ </a:t>
          </a:r>
          <a:r>
            <a:rPr lang="en-GB" sz="1100" b="0" i="1" baseline="0">
              <a:solidFill>
                <a:schemeClr val="dk1"/>
              </a:solidFill>
              <a:effectLst/>
              <a:latin typeface="Ubuntu" panose="020B0504030602030204" pitchFamily="34" charset="0"/>
              <a:ea typeface="+mn-ea"/>
              <a:cs typeface="+mn-cs"/>
            </a:rPr>
            <a:t>Responding to expensive fertiliser nitrogen for use on oats in 2022 ADAS report, February 2022</a:t>
          </a:r>
          <a:endParaRPr lang="en-GB" sz="1800">
            <a:effectLst/>
            <a:latin typeface="Ubuntu" panose="020B0504030602030204" pitchFamily="34" charset="0"/>
          </a:endParaRPr>
        </a:p>
        <a:p>
          <a:endParaRPr lang="en-GB" sz="1800">
            <a:latin typeface="Ubuntu" panose="020B050403060203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8DBA24-3C1F-465B-AE18-F06CAFB05E3D}" name="Table1" displayName="Table1" ref="B22:D30" totalsRowShown="0" headerRowDxfId="21" dataDxfId="20" tableBorderDxfId="19">
  <autoFilter ref="B22:D30" xr:uid="{619DC7E3-A9CA-4632-8C86-5160FF891168}">
    <filterColumn colId="0" hiddenButton="1"/>
    <filterColumn colId="1" hiddenButton="1"/>
    <filterColumn colId="2" hiddenButton="1"/>
  </autoFilter>
  <tableColumns count="3">
    <tableColumn id="1" xr3:uid="{BE469918-729C-401C-B00E-6B443D2494F4}" name="Cereal crop 1 results" dataDxfId="18"/>
    <tableColumn id="2" xr3:uid="{FC01B3A3-2ECA-4DB3-9EE7-E7D37606AC4B}" name="Column1" dataDxfId="17"/>
    <tableColumn id="3" xr3:uid="{72E94A4F-744C-4F1E-9B17-78EC3186A3BA}" name="Column2"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1FF268-B15C-4533-ACE6-84A59218CEF6}" name="Table13" displayName="Table13" ref="H22:J30" totalsRowShown="0" headerRowDxfId="15" dataDxfId="14" tableBorderDxfId="13">
  <autoFilter ref="H22:J30" xr:uid="{9B1FF268-B15C-4533-ACE6-84A59218CEF6}">
    <filterColumn colId="0" hiddenButton="1"/>
    <filterColumn colId="1" hiddenButton="1"/>
    <filterColumn colId="2" hiddenButton="1"/>
  </autoFilter>
  <tableColumns count="3">
    <tableColumn id="1" xr3:uid="{AC05A75C-A686-4EE9-BB36-8C5F04AE3CAC}" name="Cereal crop 2 results" dataDxfId="12"/>
    <tableColumn id="2" xr3:uid="{7777E594-E885-470A-9A83-4379A007D25D}" name="Column1" dataDxfId="11"/>
    <tableColumn id="3" xr3:uid="{D7F3C5B2-991F-46D9-9A8C-CAA7D0547A48}" name="Column2"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52329DA-521E-48AA-B84E-FB7B26DC9CE7}" name="Table14" displayName="Table14" ref="M22:O30" totalsRowShown="0" headerRowDxfId="9" dataDxfId="8" tableBorderDxfId="7">
  <autoFilter ref="M22:O30" xr:uid="{452329DA-521E-48AA-B84E-FB7B26DC9CE7}">
    <filterColumn colId="0" hiddenButton="1"/>
    <filterColumn colId="1" hiddenButton="1"/>
    <filterColumn colId="2" hiddenButton="1"/>
  </autoFilter>
  <tableColumns count="3">
    <tableColumn id="1" xr3:uid="{20CF4F63-D55B-4822-A7B5-3DFF3576173B}" name="Cereal crop 3 results" dataDxfId="6"/>
    <tableColumn id="2" xr3:uid="{54BAFF95-F0D6-4264-8B31-C01564D98499}" name="Column1" dataDxfId="5"/>
    <tableColumn id="3" xr3:uid="{3F9B87C8-6E0A-43AA-86EF-B78A2836BDB0}" name="Column2" dataDxfId="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1FFB00-3CE6-48D9-8F53-65E32D7FF6C3}" name="YieldImpactEquations" displayName="YieldImpactEquations" ref="B3:E12" totalsRowShown="0" dataDxfId="3">
  <autoFilter ref="B3:E12" xr:uid="{F71FFB00-3CE6-48D9-8F53-65E32D7FF6C3}"/>
  <tableColumns count="4">
    <tableColumn id="1" xr3:uid="{DAE9C86D-E04B-457A-A46D-E33AD123A493}" name="Crop type"/>
    <tableColumn id="2" xr3:uid="{AF6E6544-D24F-4E22-8F45-F1D12ABCD936}" name="Yield impact equation crop 1" dataDxfId="2"/>
    <tableColumn id="3" xr3:uid="{D9D0FE56-6563-4B6F-B0DD-E31CBE78EA9B}" name="Yield impact equation crop 2" dataDxfId="1"/>
    <tableColumn id="4" xr3:uid="{68A35753-3ED1-466F-A96C-AD8922E4FAFB}" name="Yield impact equation crop 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hdb.org.uk/" TargetMode="External"/><Relationship Id="rId1" Type="http://schemas.openxmlformats.org/officeDocument/2006/relationships/hyperlink" Target="mailto:mark.topliff@ahdb.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6374-DB79-43C3-ACF6-488E31371AED}">
  <sheetPr>
    <tabColor rgb="FF00B050"/>
  </sheetPr>
  <dimension ref="A2:V22"/>
  <sheetViews>
    <sheetView showGridLines="0" showRowColHeaders="0" tabSelected="1" zoomScale="90" zoomScaleNormal="90" workbookViewId="0">
      <selection activeCell="B6" sqref="B6:G6"/>
    </sheetView>
  </sheetViews>
  <sheetFormatPr defaultRowHeight="15" x14ac:dyDescent="0.25"/>
  <cols>
    <col min="2" max="2" width="12.42578125" customWidth="1"/>
  </cols>
  <sheetData>
    <row r="2" spans="1:22" ht="98.25" customHeight="1" x14ac:dyDescent="0.5">
      <c r="B2" s="1" t="s">
        <v>0</v>
      </c>
    </row>
    <row r="3" spans="1:22" ht="15.75" thickBot="1" x14ac:dyDescent="0.3"/>
    <row r="4" spans="1:22" ht="284.25" customHeight="1" thickBot="1" x14ac:dyDescent="0.3">
      <c r="B4" s="89" t="s">
        <v>65</v>
      </c>
      <c r="C4" s="90"/>
      <c r="D4" s="90"/>
      <c r="E4" s="90"/>
      <c r="F4" s="90"/>
      <c r="G4" s="90"/>
      <c r="H4" s="90"/>
      <c r="I4" s="90"/>
      <c r="J4" s="90"/>
      <c r="K4" s="90"/>
      <c r="L4" s="90"/>
      <c r="M4" s="90"/>
      <c r="N4" s="90"/>
      <c r="O4" s="90"/>
      <c r="P4" s="90"/>
      <c r="Q4" s="90"/>
      <c r="R4" s="90"/>
      <c r="S4" s="90"/>
      <c r="T4" s="90"/>
      <c r="U4" s="90"/>
      <c r="V4" s="91"/>
    </row>
    <row r="5" spans="1:22" ht="15.75" thickBot="1" x14ac:dyDescent="0.3"/>
    <row r="6" spans="1:22" ht="24" customHeight="1" thickBot="1" x14ac:dyDescent="0.3">
      <c r="A6" s="2"/>
      <c r="B6" s="92" t="s">
        <v>29</v>
      </c>
      <c r="C6" s="93"/>
      <c r="D6" s="93"/>
      <c r="E6" s="93"/>
      <c r="F6" s="93"/>
      <c r="G6" s="94"/>
      <c r="H6" s="3"/>
      <c r="V6" t="s">
        <v>67</v>
      </c>
    </row>
    <row r="8" spans="1:22" ht="15.75" thickBot="1" x14ac:dyDescent="0.3"/>
    <row r="9" spans="1:22" ht="15.75" x14ac:dyDescent="0.25">
      <c r="B9" s="4" t="s">
        <v>17</v>
      </c>
      <c r="C9" s="4"/>
      <c r="D9" s="4"/>
      <c r="E9" s="4"/>
      <c r="F9" s="4"/>
      <c r="G9" s="4"/>
      <c r="H9" s="4"/>
      <c r="I9" s="4"/>
      <c r="J9" s="4"/>
      <c r="K9" s="4"/>
      <c r="L9" s="4"/>
      <c r="M9" s="4"/>
      <c r="N9" s="4"/>
      <c r="O9" s="4"/>
      <c r="P9" s="4"/>
      <c r="Q9" s="4"/>
      <c r="R9" s="4"/>
      <c r="S9" s="4"/>
      <c r="T9" s="4"/>
      <c r="U9" s="4"/>
      <c r="V9" s="4"/>
    </row>
    <row r="10" spans="1:22" ht="15.75" x14ac:dyDescent="0.25">
      <c r="B10" s="5"/>
      <c r="C10" s="5"/>
      <c r="D10" s="5"/>
      <c r="E10" s="5"/>
      <c r="F10" s="5"/>
      <c r="G10" s="5"/>
      <c r="H10" s="5"/>
    </row>
    <row r="11" spans="1:22" ht="60.75" customHeight="1" x14ac:dyDescent="0.25">
      <c r="B11" s="95" t="s">
        <v>18</v>
      </c>
      <c r="C11" s="95"/>
      <c r="D11" s="95"/>
      <c r="E11" s="95"/>
      <c r="F11" s="95"/>
      <c r="G11" s="95"/>
      <c r="H11" s="95"/>
      <c r="I11" s="95"/>
      <c r="J11" s="95"/>
      <c r="K11" s="95"/>
      <c r="L11" s="95"/>
      <c r="M11" s="95"/>
      <c r="N11" s="95"/>
      <c r="O11" s="95"/>
      <c r="P11" s="95"/>
      <c r="Q11" s="95"/>
      <c r="R11" s="95"/>
      <c r="S11" s="95"/>
      <c r="T11" s="95"/>
      <c r="U11" s="95"/>
      <c r="V11" s="95"/>
    </row>
    <row r="12" spans="1:22" ht="15.75" x14ac:dyDescent="0.25">
      <c r="B12" s="5"/>
      <c r="C12" s="6"/>
      <c r="D12" s="6"/>
      <c r="E12" s="6"/>
      <c r="F12" s="6"/>
      <c r="G12" s="6"/>
      <c r="H12" s="6"/>
    </row>
    <row r="13" spans="1:22" x14ac:dyDescent="0.25">
      <c r="B13" s="96" t="s">
        <v>19</v>
      </c>
      <c r="C13" s="96"/>
      <c r="D13" s="96"/>
      <c r="E13" s="96"/>
      <c r="F13" s="96"/>
      <c r="G13" s="96"/>
      <c r="H13" s="96"/>
      <c r="I13" s="96"/>
      <c r="J13" s="96"/>
      <c r="K13" s="96"/>
      <c r="L13" s="96"/>
      <c r="M13" s="96"/>
      <c r="N13" s="96"/>
      <c r="O13" s="96"/>
      <c r="P13" s="96"/>
      <c r="Q13" s="96"/>
      <c r="R13" s="96"/>
      <c r="S13" s="96"/>
      <c r="T13" s="96"/>
      <c r="U13" s="96"/>
      <c r="V13" s="96"/>
    </row>
    <row r="14" spans="1:22" ht="16.5" thickBot="1" x14ac:dyDescent="0.3">
      <c r="B14" s="7"/>
      <c r="C14" s="7"/>
      <c r="D14" s="7"/>
      <c r="E14" s="7"/>
      <c r="F14" s="7"/>
      <c r="G14" s="7"/>
      <c r="H14" s="7"/>
      <c r="I14" s="7"/>
      <c r="J14" s="7"/>
      <c r="K14" s="7"/>
      <c r="L14" s="7"/>
      <c r="M14" s="7"/>
      <c r="N14" s="7"/>
      <c r="O14" s="7"/>
      <c r="P14" s="7"/>
      <c r="Q14" s="7"/>
      <c r="R14" s="7"/>
      <c r="S14" s="7"/>
      <c r="T14" s="7"/>
      <c r="U14" s="7"/>
      <c r="V14" s="7"/>
    </row>
    <row r="15" spans="1:22" ht="15.75" x14ac:dyDescent="0.25">
      <c r="B15" s="4" t="s">
        <v>20</v>
      </c>
      <c r="C15" s="4"/>
      <c r="D15" s="4"/>
      <c r="E15" s="4"/>
      <c r="F15" s="4"/>
      <c r="G15" s="4"/>
      <c r="H15" s="4"/>
      <c r="I15" s="4"/>
      <c r="J15" s="4"/>
      <c r="K15" s="4"/>
      <c r="L15" s="4"/>
      <c r="M15" s="4"/>
      <c r="N15" s="4"/>
      <c r="O15" s="4"/>
      <c r="P15" s="4"/>
      <c r="Q15" s="4"/>
      <c r="R15" s="4"/>
      <c r="S15" s="4"/>
      <c r="T15" s="4"/>
      <c r="U15" s="4"/>
      <c r="V15" s="4"/>
    </row>
    <row r="16" spans="1:22" ht="15.75" x14ac:dyDescent="0.25">
      <c r="B16" s="5"/>
      <c r="C16" s="5"/>
      <c r="D16" s="5"/>
      <c r="E16" s="5"/>
      <c r="F16" s="5"/>
      <c r="G16" s="5"/>
      <c r="H16" s="5"/>
    </row>
    <row r="17" spans="2:22" ht="84.75" customHeight="1" x14ac:dyDescent="0.25">
      <c r="B17" s="8" t="s">
        <v>21</v>
      </c>
      <c r="C17" s="95" t="s">
        <v>22</v>
      </c>
      <c r="D17" s="95"/>
      <c r="E17" s="95"/>
      <c r="F17" s="95"/>
      <c r="G17" s="95"/>
      <c r="H17" s="95"/>
      <c r="I17" s="95"/>
    </row>
    <row r="18" spans="2:22" ht="15.75" x14ac:dyDescent="0.25">
      <c r="B18" s="9"/>
      <c r="C18" s="10"/>
      <c r="D18" s="10"/>
      <c r="E18" s="10"/>
      <c r="F18" s="10"/>
      <c r="G18" s="10"/>
      <c r="H18" s="10"/>
    </row>
    <row r="19" spans="2:22" ht="15.75" x14ac:dyDescent="0.25">
      <c r="B19" s="10" t="s">
        <v>23</v>
      </c>
      <c r="C19" s="9" t="s">
        <v>24</v>
      </c>
      <c r="D19" s="9"/>
      <c r="E19" s="9"/>
      <c r="F19" s="9"/>
      <c r="G19" s="9"/>
      <c r="H19" s="9"/>
    </row>
    <row r="20" spans="2:22" ht="15.75" x14ac:dyDescent="0.25">
      <c r="B20" s="11" t="s">
        <v>25</v>
      </c>
      <c r="C20" s="12" t="s">
        <v>26</v>
      </c>
      <c r="D20" s="13"/>
      <c r="E20" s="13"/>
      <c r="F20" s="13"/>
      <c r="G20" s="13"/>
      <c r="H20" s="13"/>
    </row>
    <row r="21" spans="2:22" ht="15.75" x14ac:dyDescent="0.25">
      <c r="B21" s="11" t="s">
        <v>27</v>
      </c>
      <c r="C21" s="14" t="s">
        <v>28</v>
      </c>
      <c r="D21" s="14"/>
      <c r="E21" s="14"/>
      <c r="F21" s="14"/>
      <c r="G21" s="14"/>
      <c r="H21" s="14"/>
    </row>
    <row r="22" spans="2:22" ht="16.5" thickBot="1" x14ac:dyDescent="0.3">
      <c r="B22" s="15"/>
      <c r="C22" s="16"/>
      <c r="D22" s="15"/>
      <c r="E22" s="15"/>
      <c r="F22" s="15"/>
      <c r="G22" s="15"/>
      <c r="H22" s="15"/>
      <c r="I22" s="15"/>
      <c r="J22" s="15"/>
      <c r="K22" s="15"/>
      <c r="L22" s="15"/>
      <c r="M22" s="15"/>
      <c r="N22" s="15"/>
      <c r="O22" s="15"/>
      <c r="P22" s="15"/>
      <c r="Q22" s="15"/>
      <c r="R22" s="15"/>
      <c r="S22" s="15"/>
      <c r="T22" s="15"/>
      <c r="U22" s="15"/>
      <c r="V22" s="15"/>
    </row>
  </sheetData>
  <sheetProtection algorithmName="SHA-512" hashValue="T4NeVCHXeSnVqoTT8v6o2xYi7RJdYXRt6V7xfIl7aeHKwVxLNMKqDiNtfNyDxlmCLbhYS92kiSAMXZF5D7TnjA==" saltValue="OoN/6I5NbTjAaFHFje++Lw==" spinCount="100000" sheet="1" objects="1" scenarios="1" selectLockedCells="1"/>
  <mergeCells count="5">
    <mergeCell ref="B4:V4"/>
    <mergeCell ref="B6:G6"/>
    <mergeCell ref="B11:V11"/>
    <mergeCell ref="B13:V13"/>
    <mergeCell ref="C17:I17"/>
  </mergeCells>
  <hyperlinks>
    <hyperlink ref="B6:F6" location="'Mix and match calculator'!D4" display="Click here to go to 'mix and match' calculator" xr:uid="{F04A4919-862E-4D0B-8A4F-AB0FEC42F9CE}"/>
    <hyperlink ref="C20" r:id="rId1" xr:uid="{83062D77-5345-4745-BB41-F31CE3C36742}"/>
    <hyperlink ref="C21" r:id="rId2" xr:uid="{F6C2798A-6EA0-4962-8285-B5FF338B3629}"/>
    <hyperlink ref="B6:G6" location="'N fert adjustment calculator'!A1" display="Click here to go to N fertiliser adjustment calculator" xr:uid="{7E456C3F-2557-4E3C-8CFB-5E4545933F8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E917-CA93-415B-B7A3-FABA3DA7B260}">
  <sheetPr>
    <tabColor theme="4"/>
  </sheetPr>
  <dimension ref="A6:O68"/>
  <sheetViews>
    <sheetView showGridLines="0" zoomScale="80" zoomScaleNormal="80" workbookViewId="0">
      <selection activeCell="C10" sqref="C10"/>
    </sheetView>
  </sheetViews>
  <sheetFormatPr defaultRowHeight="15.75" x14ac:dyDescent="0.25"/>
  <cols>
    <col min="1" max="1" width="26.7109375" style="17" customWidth="1"/>
    <col min="2" max="2" width="65.7109375" style="17" customWidth="1"/>
    <col min="3" max="3" width="19.42578125" style="17" customWidth="1"/>
    <col min="4" max="4" width="11.7109375" style="17" customWidth="1"/>
    <col min="5" max="5" width="10.5703125" style="17" customWidth="1"/>
    <col min="6" max="6" width="11.7109375" style="17" customWidth="1"/>
    <col min="7" max="7" width="9.140625" style="17"/>
    <col min="8" max="8" width="65.7109375" style="17" customWidth="1"/>
    <col min="9" max="9" width="19.5703125" style="17" customWidth="1"/>
    <col min="10" max="10" width="12" style="17" customWidth="1"/>
    <col min="11" max="12" width="9.140625" style="17"/>
    <col min="13" max="13" width="65.7109375" style="17" customWidth="1"/>
    <col min="14" max="14" width="19.5703125" style="17" customWidth="1"/>
    <col min="15" max="15" width="12.42578125" style="17" customWidth="1"/>
    <col min="16" max="16384" width="9.140625" style="17"/>
  </cols>
  <sheetData>
    <row r="6" spans="1:15" ht="57.75" x14ac:dyDescent="0.65">
      <c r="B6" s="54" t="s">
        <v>44</v>
      </c>
      <c r="C6" s="18"/>
      <c r="D6" s="18"/>
      <c r="E6" s="18"/>
    </row>
    <row r="7" spans="1:15" ht="56.25" customHeight="1" x14ac:dyDescent="0.3">
      <c r="B7" s="105" t="s">
        <v>66</v>
      </c>
      <c r="C7" s="104"/>
      <c r="D7" s="104"/>
      <c r="E7" s="104"/>
      <c r="F7" s="104"/>
      <c r="G7" s="104"/>
      <c r="H7" s="104"/>
      <c r="I7" s="104"/>
      <c r="J7" s="104"/>
      <c r="K7" s="104"/>
      <c r="L7" s="104"/>
      <c r="M7" s="104"/>
    </row>
    <row r="8" spans="1:15" ht="44.25" customHeight="1" x14ac:dyDescent="0.4">
      <c r="A8" s="55" t="s">
        <v>1</v>
      </c>
      <c r="C8" s="20"/>
    </row>
    <row r="9" spans="1:15" ht="7.5" customHeight="1" thickBot="1" x14ac:dyDescent="0.4">
      <c r="B9" s="19"/>
      <c r="C9" s="20"/>
    </row>
    <row r="10" spans="1:15" ht="21" thickBot="1" x14ac:dyDescent="0.4">
      <c r="A10" s="98" t="s">
        <v>30</v>
      </c>
      <c r="B10" s="21" t="s">
        <v>32</v>
      </c>
      <c r="C10" s="63"/>
      <c r="D10" s="22"/>
      <c r="E10" s="22"/>
      <c r="H10" s="21" t="s">
        <v>33</v>
      </c>
      <c r="I10" s="63"/>
      <c r="J10" s="22"/>
      <c r="M10" s="21" t="s">
        <v>34</v>
      </c>
      <c r="N10" s="63"/>
      <c r="O10" s="22"/>
    </row>
    <row r="11" spans="1:15" ht="21" thickBot="1" x14ac:dyDescent="0.4">
      <c r="A11" s="98"/>
      <c r="B11" s="21" t="s">
        <v>61</v>
      </c>
      <c r="C11" s="63"/>
      <c r="D11" s="22"/>
      <c r="E11" s="22"/>
      <c r="H11" s="21" t="s">
        <v>61</v>
      </c>
      <c r="I11" s="63"/>
      <c r="J11" s="22"/>
      <c r="M11" s="21" t="s">
        <v>61</v>
      </c>
      <c r="N11" s="63"/>
      <c r="O11" s="22"/>
    </row>
    <row r="12" spans="1:15" ht="19.5" x14ac:dyDescent="0.3">
      <c r="A12" s="99"/>
      <c r="B12" s="60" t="s">
        <v>47</v>
      </c>
      <c r="C12" s="64"/>
      <c r="D12" s="24"/>
      <c r="E12" s="24"/>
      <c r="G12" s="24"/>
      <c r="H12" s="60" t="s">
        <v>47</v>
      </c>
      <c r="I12" s="64"/>
      <c r="J12" s="24"/>
      <c r="M12" s="60" t="s">
        <v>47</v>
      </c>
      <c r="N12" s="64"/>
      <c r="O12" s="24"/>
    </row>
    <row r="13" spans="1:15" ht="19.5" x14ac:dyDescent="0.3">
      <c r="A13" s="99"/>
      <c r="B13" s="25" t="s">
        <v>3</v>
      </c>
      <c r="C13" s="65"/>
      <c r="D13" s="24"/>
      <c r="E13" s="24"/>
      <c r="G13" s="24"/>
      <c r="H13" s="25" t="s">
        <v>3</v>
      </c>
      <c r="I13" s="65"/>
      <c r="J13" s="24"/>
      <c r="M13" s="25" t="s">
        <v>3</v>
      </c>
      <c r="N13" s="65"/>
      <c r="O13" s="24"/>
    </row>
    <row r="14" spans="1:15" ht="19.5" x14ac:dyDescent="0.3">
      <c r="A14" s="99"/>
      <c r="B14" s="23" t="s">
        <v>4</v>
      </c>
      <c r="C14" s="66"/>
      <c r="D14" s="24"/>
      <c r="E14" s="24"/>
      <c r="G14" s="24"/>
      <c r="H14" s="23" t="s">
        <v>4</v>
      </c>
      <c r="I14" s="66"/>
      <c r="J14" s="24"/>
      <c r="M14" s="23" t="s">
        <v>4</v>
      </c>
      <c r="N14" s="66"/>
      <c r="O14" s="24"/>
    </row>
    <row r="15" spans="1:15" ht="19.5" x14ac:dyDescent="0.3">
      <c r="A15" s="99"/>
      <c r="B15" s="25" t="s">
        <v>45</v>
      </c>
      <c r="C15" s="69"/>
      <c r="D15" s="24"/>
      <c r="E15" s="24"/>
      <c r="G15" s="24"/>
      <c r="H15" s="25" t="s">
        <v>45</v>
      </c>
      <c r="I15" s="69"/>
      <c r="J15" s="24"/>
      <c r="M15" s="25" t="s">
        <v>45</v>
      </c>
      <c r="N15" s="69"/>
      <c r="O15" s="24"/>
    </row>
    <row r="16" spans="1:15" ht="19.5" x14ac:dyDescent="0.3">
      <c r="A16" s="99"/>
      <c r="B16" s="23" t="s">
        <v>6</v>
      </c>
      <c r="C16" s="67"/>
      <c r="D16" s="24"/>
      <c r="E16" s="24"/>
      <c r="G16" s="24"/>
      <c r="H16" s="23" t="s">
        <v>6</v>
      </c>
      <c r="I16" s="70"/>
      <c r="J16" s="24"/>
      <c r="M16" s="23" t="s">
        <v>6</v>
      </c>
      <c r="N16" s="70"/>
      <c r="O16" s="24"/>
    </row>
    <row r="17" spans="1:15" ht="30.75" customHeight="1" x14ac:dyDescent="0.3">
      <c r="A17" s="99"/>
      <c r="B17" s="25"/>
      <c r="C17" s="26"/>
      <c r="D17" s="24"/>
      <c r="E17" s="24"/>
      <c r="G17" s="24"/>
      <c r="H17" s="25"/>
      <c r="I17" s="26"/>
      <c r="J17" s="24"/>
      <c r="M17" s="25"/>
      <c r="N17" s="26"/>
      <c r="O17" s="24"/>
    </row>
    <row r="18" spans="1:15" ht="19.5" x14ac:dyDescent="0.3">
      <c r="A18" s="99"/>
      <c r="B18" s="23" t="s">
        <v>7</v>
      </c>
      <c r="C18" s="27" t="str">
        <f>IFERROR((C12/1000)/C13,"")</f>
        <v/>
      </c>
      <c r="D18" s="24"/>
      <c r="E18" s="24"/>
      <c r="G18" s="24"/>
      <c r="H18" s="23" t="s">
        <v>7</v>
      </c>
      <c r="I18" s="27" t="str">
        <f>IFERROR((I12/1000)/I13,"")</f>
        <v/>
      </c>
      <c r="J18" s="24"/>
      <c r="M18" s="23" t="s">
        <v>7</v>
      </c>
      <c r="N18" s="27" t="str">
        <f>IFERROR((N12/1000)/N13,"")</f>
        <v/>
      </c>
      <c r="O18" s="24"/>
    </row>
    <row r="19" spans="1:15" ht="41.25" customHeight="1" x14ac:dyDescent="0.3">
      <c r="A19" s="99"/>
      <c r="B19" s="23"/>
      <c r="C19" s="28"/>
      <c r="D19" s="24"/>
      <c r="E19" s="24"/>
      <c r="G19" s="29"/>
      <c r="H19" s="23"/>
      <c r="I19" s="28"/>
      <c r="J19" s="24"/>
      <c r="M19" s="23"/>
      <c r="N19" s="28"/>
      <c r="O19" s="24"/>
    </row>
    <row r="20" spans="1:15" ht="35.25" customHeight="1" thickBot="1" x14ac:dyDescent="0.3">
      <c r="A20" s="99"/>
      <c r="B20" s="30" t="s">
        <v>8</v>
      </c>
      <c r="C20" s="31" t="str">
        <f>IFERROR(C18/(C14/1000),"")</f>
        <v/>
      </c>
      <c r="D20" s="32"/>
      <c r="E20" s="32"/>
      <c r="H20" s="30" t="s">
        <v>8</v>
      </c>
      <c r="I20" s="31" t="str">
        <f>IFERROR(I18/(I14/1000),"")</f>
        <v/>
      </c>
      <c r="J20" s="32"/>
      <c r="M20" s="30" t="s">
        <v>8</v>
      </c>
      <c r="N20" s="31" t="str">
        <f>IFERROR(N18/(N14/1000),"")</f>
        <v/>
      </c>
      <c r="O20" s="32"/>
    </row>
    <row r="21" spans="1:15" x14ac:dyDescent="0.25">
      <c r="C21" s="33"/>
      <c r="D21" s="34"/>
      <c r="E21" s="34"/>
      <c r="I21" s="33"/>
      <c r="J21" s="34"/>
      <c r="N21" s="33"/>
      <c r="O21" s="34"/>
    </row>
    <row r="22" spans="1:15" ht="46.5" customHeight="1" x14ac:dyDescent="0.35">
      <c r="A22" s="98" t="s">
        <v>31</v>
      </c>
      <c r="B22" s="35" t="s">
        <v>38</v>
      </c>
      <c r="C22" s="22" t="s">
        <v>9</v>
      </c>
      <c r="D22" s="22" t="s">
        <v>10</v>
      </c>
      <c r="E22" s="22"/>
      <c r="H22" s="35" t="s">
        <v>39</v>
      </c>
      <c r="I22" s="22" t="s">
        <v>9</v>
      </c>
      <c r="J22" s="22" t="s">
        <v>10</v>
      </c>
      <c r="M22" s="35" t="s">
        <v>40</v>
      </c>
      <c r="N22" s="22" t="s">
        <v>9</v>
      </c>
      <c r="O22" s="22" t="s">
        <v>10</v>
      </c>
    </row>
    <row r="23" spans="1:15" ht="20.25" x14ac:dyDescent="0.35">
      <c r="A23" s="98"/>
      <c r="B23" s="35" t="str">
        <f>IF(C23="","Adjust recommended application by",IF(C23&gt;0,"Increase recommended application by","Decrease recommended application by"))</f>
        <v>Adjust recommended application by</v>
      </c>
      <c r="C23" s="56" t="str">
        <f>IFERROR(IF(C11="Oats",((0.1059*C20^2)-(6.1039*C20)+27.773),(IF(((0.5617*(C20*C20))-(18.837*C20)+80.932)&gt;0,MROUND((0.5617*(C20*C20))-(18.837*C20)+80.932,5),MROUND((0.5617*(C20*C20))-(18.837*C20)+80.932,-5)))),"")</f>
        <v/>
      </c>
      <c r="D23" s="35" t="s">
        <v>48</v>
      </c>
      <c r="E23" s="35"/>
      <c r="G23" s="24"/>
      <c r="H23" s="35" t="str">
        <f>IF(I23="","Adjust recommended application by",IF(I23&gt;0,"Increase recommended application by","Decrease recommended application by"))</f>
        <v>Adjust recommended application by</v>
      </c>
      <c r="I23" s="56" t="str">
        <f>IFERROR(IF(I11="Oats",((0.1059*I20^2)-(6.1039*I20)+27.773),(IF(((0.5617*(I20*I20))-(18.837*I20)+80.932)&gt;0,MROUND((0.5617*(I20*I20))-(18.837*I20)+80.932,5),MROUND((0.5617*(I20*I20))-(18.837*I20)+80.932,-5)))),"")</f>
        <v/>
      </c>
      <c r="J23" s="35" t="s">
        <v>48</v>
      </c>
      <c r="M23" s="35" t="str">
        <f>IF(N23="","Adjust recommended application by",IF(N23&gt;0,"Increase recommended application by","Decrease recommended application by"))</f>
        <v>Adjust recommended application by</v>
      </c>
      <c r="N23" s="56" t="str">
        <f>IFERROR(IF(N11="Oats",((0.1059*N20^2)-(6.1039*N20)+27.773),(IF(((0.5617*(N20*N20))-(18.837*N20)+80.932)&gt;0,MROUND((0.5617*(N20*N20))-(18.837*N20)+80.932,5),MROUND((0.5617*(N20*N20))-(18.837*N20)+80.932,-5)))),"")</f>
        <v/>
      </c>
      <c r="O23" s="35" t="s">
        <v>48</v>
      </c>
    </row>
    <row r="24" spans="1:15" ht="19.5" x14ac:dyDescent="0.3">
      <c r="A24" s="98"/>
      <c r="B24" s="24" t="s">
        <v>11</v>
      </c>
      <c r="C24" s="57" t="str">
        <f>IF(C15&gt;0,C15+C23,"")</f>
        <v/>
      </c>
      <c r="D24" s="24" t="s">
        <v>48</v>
      </c>
      <c r="E24" s="24"/>
      <c r="H24" s="24" t="s">
        <v>11</v>
      </c>
      <c r="I24" s="57" t="str">
        <f>IF(I15&gt;0,I15+I23,"")</f>
        <v/>
      </c>
      <c r="J24" s="24" t="s">
        <v>48</v>
      </c>
      <c r="M24" s="24" t="s">
        <v>11</v>
      </c>
      <c r="N24" s="57" t="str">
        <f>IF(N15&gt;0,N15+N23,"")</f>
        <v/>
      </c>
      <c r="O24" s="24" t="s">
        <v>48</v>
      </c>
    </row>
    <row r="25" spans="1:15" ht="19.5" x14ac:dyDescent="0.3">
      <c r="A25" s="98"/>
      <c r="C25" s="58"/>
      <c r="G25" s="24"/>
      <c r="I25" s="58"/>
      <c r="N25" s="58"/>
    </row>
    <row r="26" spans="1:15" ht="19.5" x14ac:dyDescent="0.3">
      <c r="A26" s="98"/>
      <c r="B26" s="24" t="s">
        <v>12</v>
      </c>
      <c r="C26" s="83" t="str">
        <f>IFERROR(VLOOKUP(C11,YieldImpactEquations[],2,FALSE),"")</f>
        <v/>
      </c>
      <c r="D26" s="24" t="s">
        <v>13</v>
      </c>
      <c r="E26" s="24"/>
      <c r="G26" s="24"/>
      <c r="H26" s="24" t="s">
        <v>12</v>
      </c>
      <c r="I26" s="83" t="str">
        <f>IFERROR(VLOOKUP(I11,YieldImpactEquations[],3,FALSE),"")</f>
        <v/>
      </c>
      <c r="J26" s="24" t="s">
        <v>13</v>
      </c>
      <c r="M26" s="24" t="s">
        <v>12</v>
      </c>
      <c r="N26" s="83" t="str">
        <f>IFERROR(VLOOKUP(N11,YieldImpactEquations[],4,FALSE),"")</f>
        <v/>
      </c>
      <c r="O26" s="24" t="s">
        <v>13</v>
      </c>
    </row>
    <row r="27" spans="1:15" ht="19.5" x14ac:dyDescent="0.3">
      <c r="A27" s="98"/>
      <c r="B27" s="24" t="str">
        <f>IF(C27="","Estimated affect on income",IF(C27&lt;0,"Estimated reduction in crop income","Estimated gain in crop income"))</f>
        <v>Estimated affect on income</v>
      </c>
      <c r="C27" s="57" t="str">
        <f>IFERROR(C26*C14,"")</f>
        <v/>
      </c>
      <c r="D27" s="24" t="s">
        <v>14</v>
      </c>
      <c r="E27" s="24"/>
      <c r="H27" s="24" t="str">
        <f>IF(I27="","Estimated affect on income",IF(I27&lt;0,"Estimated reduction in crop income","Estimated gain in crop income"))</f>
        <v>Estimated affect on income</v>
      </c>
      <c r="I27" s="57" t="str">
        <f>IFERROR(I26*I14,"")</f>
        <v/>
      </c>
      <c r="J27" s="24" t="s">
        <v>14</v>
      </c>
      <c r="M27" s="24" t="str">
        <f>IF(N27="","Estimated affect on income",IF(N27&lt;0,"Estimated reduction in crop income","Estimated gain in crop income"))</f>
        <v>Estimated affect on income</v>
      </c>
      <c r="N27" s="57" t="str">
        <f>IFERROR(N26*N14,"")</f>
        <v/>
      </c>
      <c r="O27" s="24" t="s">
        <v>14</v>
      </c>
    </row>
    <row r="28" spans="1:15" ht="19.5" x14ac:dyDescent="0.3">
      <c r="A28" s="98"/>
      <c r="B28" s="24" t="str">
        <f>IF(C27="","Estimated impact on N fertiliser costs",IF(C28&lt;0,"Estimated reduction in N fertiliser cost","Estimated increase cost of N fertiliser"))</f>
        <v>Estimated impact on N fertiliser costs</v>
      </c>
      <c r="C28" s="57" t="str">
        <f>IFERROR(C23*C18,"")</f>
        <v/>
      </c>
      <c r="D28" s="24" t="s">
        <v>14</v>
      </c>
      <c r="E28" s="24"/>
      <c r="H28" s="24" t="str">
        <f>IF(I27="","Estimated impact on N fertiliser costs",IF(I28&lt;0,"Estimated reduction in N fertiliser cost","Estimated increase cost of N fertiliser"))</f>
        <v>Estimated impact on N fertiliser costs</v>
      </c>
      <c r="I28" s="57" t="str">
        <f>IFERROR(I23*I18,"")</f>
        <v/>
      </c>
      <c r="J28" s="24" t="s">
        <v>14</v>
      </c>
      <c r="M28" s="24" t="str">
        <f>IF(N27="","Estimated impact on N fertiliser costs",IF(N28&lt;0,"Estimated reduction in N fertiliser cost","Estimated increase cost of N fertiliser"))</f>
        <v>Estimated impact on N fertiliser costs</v>
      </c>
      <c r="N28" s="57" t="str">
        <f>IFERROR(N23*N18,"")</f>
        <v/>
      </c>
      <c r="O28" s="24" t="s">
        <v>14</v>
      </c>
    </row>
    <row r="29" spans="1:15" ht="19.5" x14ac:dyDescent="0.3">
      <c r="A29" s="98"/>
      <c r="C29" s="58"/>
      <c r="I29" s="58"/>
      <c r="N29" s="58"/>
    </row>
    <row r="30" spans="1:15" ht="19.5" x14ac:dyDescent="0.3">
      <c r="A30" s="98"/>
      <c r="B30" s="24" t="s">
        <v>15</v>
      </c>
      <c r="C30" s="58" t="str">
        <f>IF(C16&gt;0,(C16*(C24/C13))/1000,"")</f>
        <v/>
      </c>
      <c r="D30" s="24" t="s">
        <v>16</v>
      </c>
      <c r="E30" s="24"/>
      <c r="H30" s="24" t="s">
        <v>15</v>
      </c>
      <c r="I30" s="58" t="str">
        <f>IF(I16&gt;0,(I16*(I24/I13))/1000,"")</f>
        <v/>
      </c>
      <c r="J30" s="24" t="s">
        <v>16</v>
      </c>
      <c r="M30" s="24" t="s">
        <v>15</v>
      </c>
      <c r="N30" s="58" t="str">
        <f>IF(N16&gt;0,(N16*(N24/N13))/1000,"")</f>
        <v/>
      </c>
      <c r="O30" s="24" t="s">
        <v>16</v>
      </c>
    </row>
    <row r="31" spans="1:15" x14ac:dyDescent="0.25">
      <c r="A31" s="59"/>
    </row>
    <row r="32" spans="1:15" x14ac:dyDescent="0.25">
      <c r="B32" s="100" t="s">
        <v>51</v>
      </c>
      <c r="C32" s="100"/>
      <c r="D32" s="100"/>
      <c r="E32" s="100"/>
    </row>
    <row r="34" spans="1:15" ht="33.75" x14ac:dyDescent="0.4">
      <c r="A34" s="55" t="s">
        <v>2</v>
      </c>
    </row>
    <row r="35" spans="1:15" ht="7.5" customHeight="1" thickBot="1" x14ac:dyDescent="0.4">
      <c r="B35" s="19"/>
      <c r="C35" s="20"/>
    </row>
    <row r="36" spans="1:15" ht="21" thickBot="1" x14ac:dyDescent="0.4">
      <c r="A36" s="98" t="s">
        <v>30</v>
      </c>
      <c r="B36" s="62" t="s">
        <v>35</v>
      </c>
      <c r="C36" s="68"/>
      <c r="D36" s="22"/>
      <c r="E36" s="22"/>
      <c r="H36" s="62" t="s">
        <v>36</v>
      </c>
      <c r="I36" s="68"/>
      <c r="J36" s="22"/>
      <c r="M36" s="62" t="s">
        <v>37</v>
      </c>
      <c r="N36" s="68"/>
      <c r="O36" s="22"/>
    </row>
    <row r="37" spans="1:15" ht="21" thickBot="1" x14ac:dyDescent="0.4">
      <c r="A37" s="98"/>
      <c r="B37" s="21" t="s">
        <v>61</v>
      </c>
      <c r="C37" s="82"/>
      <c r="D37" s="22"/>
      <c r="E37" s="22"/>
      <c r="H37" s="21" t="s">
        <v>61</v>
      </c>
      <c r="I37" s="82"/>
      <c r="J37" s="22"/>
      <c r="M37" s="21" t="s">
        <v>61</v>
      </c>
      <c r="N37" s="82"/>
      <c r="O37" s="22"/>
    </row>
    <row r="38" spans="1:15" ht="19.5" x14ac:dyDescent="0.3">
      <c r="A38" s="99"/>
      <c r="B38" s="60" t="s">
        <v>47</v>
      </c>
      <c r="C38" s="64"/>
      <c r="D38" s="24"/>
      <c r="H38" s="60" t="s">
        <v>47</v>
      </c>
      <c r="I38" s="64"/>
      <c r="J38" s="24"/>
      <c r="M38" s="60" t="s">
        <v>47</v>
      </c>
      <c r="N38" s="64"/>
      <c r="O38" s="24"/>
    </row>
    <row r="39" spans="1:15" ht="19.5" x14ac:dyDescent="0.3">
      <c r="A39" s="99"/>
      <c r="B39" s="25" t="s">
        <v>3</v>
      </c>
      <c r="C39" s="65"/>
      <c r="D39" s="24"/>
      <c r="H39" s="25" t="s">
        <v>3</v>
      </c>
      <c r="I39" s="65"/>
      <c r="J39" s="24"/>
      <c r="M39" s="25" t="s">
        <v>3</v>
      </c>
      <c r="N39" s="65"/>
      <c r="O39" s="24"/>
    </row>
    <row r="40" spans="1:15" ht="19.5" x14ac:dyDescent="0.3">
      <c r="A40" s="99"/>
      <c r="B40" s="23" t="s">
        <v>5</v>
      </c>
      <c r="C40" s="66"/>
      <c r="D40" s="24"/>
      <c r="H40" s="23" t="s">
        <v>5</v>
      </c>
      <c r="I40" s="66"/>
      <c r="J40" s="24"/>
      <c r="M40" s="23" t="s">
        <v>5</v>
      </c>
      <c r="N40" s="66"/>
      <c r="O40" s="24"/>
    </row>
    <row r="41" spans="1:15" ht="19.5" x14ac:dyDescent="0.3">
      <c r="A41" s="99"/>
      <c r="B41" s="25" t="s">
        <v>45</v>
      </c>
      <c r="C41" s="69"/>
      <c r="D41" s="24"/>
      <c r="H41" s="25" t="s">
        <v>45</v>
      </c>
      <c r="I41" s="69"/>
      <c r="J41" s="24"/>
      <c r="M41" s="25" t="s">
        <v>45</v>
      </c>
      <c r="N41" s="69"/>
      <c r="O41" s="24"/>
    </row>
    <row r="42" spans="1:15" ht="19.5" x14ac:dyDescent="0.3">
      <c r="A42" s="99"/>
      <c r="B42" s="23" t="s">
        <v>6</v>
      </c>
      <c r="C42" s="70"/>
      <c r="D42" s="24"/>
      <c r="H42" s="23" t="s">
        <v>6</v>
      </c>
      <c r="I42" s="70"/>
      <c r="J42" s="24"/>
      <c r="M42" s="23" t="s">
        <v>6</v>
      </c>
      <c r="N42" s="70"/>
      <c r="O42" s="24"/>
    </row>
    <row r="43" spans="1:15" ht="19.5" x14ac:dyDescent="0.3">
      <c r="A43" s="99"/>
      <c r="B43" s="25"/>
      <c r="C43" s="26"/>
      <c r="D43" s="24"/>
      <c r="H43" s="25"/>
      <c r="I43" s="26"/>
      <c r="J43" s="24"/>
      <c r="M43" s="25"/>
      <c r="N43" s="26"/>
      <c r="O43" s="24"/>
    </row>
    <row r="44" spans="1:15" ht="19.5" x14ac:dyDescent="0.3">
      <c r="A44" s="99"/>
      <c r="B44" s="23" t="s">
        <v>7</v>
      </c>
      <c r="C44" s="27" t="str">
        <f>IFERROR((C38/1000)/C39,"")</f>
        <v/>
      </c>
      <c r="D44" s="24"/>
      <c r="H44" s="23" t="s">
        <v>7</v>
      </c>
      <c r="I44" s="27" t="str">
        <f>IFERROR((I38/1000)/I39,"")</f>
        <v/>
      </c>
      <c r="J44" s="24"/>
      <c r="M44" s="23" t="s">
        <v>7</v>
      </c>
      <c r="N44" s="27" t="str">
        <f>IFERROR((N38/1000)/N39,"")</f>
        <v/>
      </c>
      <c r="O44" s="24"/>
    </row>
    <row r="45" spans="1:15" ht="19.5" x14ac:dyDescent="0.3">
      <c r="A45" s="99"/>
      <c r="B45" s="23"/>
      <c r="C45" s="28"/>
      <c r="D45" s="24"/>
      <c r="H45" s="23"/>
      <c r="I45" s="28"/>
      <c r="J45" s="24"/>
      <c r="M45" s="23"/>
      <c r="N45" s="28"/>
      <c r="O45" s="24"/>
    </row>
    <row r="46" spans="1:15" ht="39.75" thickBot="1" x14ac:dyDescent="0.3">
      <c r="A46" s="99"/>
      <c r="B46" s="30" t="s">
        <v>8</v>
      </c>
      <c r="C46" s="31" t="str">
        <f>IFERROR(C44/(C40/1000),"")</f>
        <v/>
      </c>
      <c r="D46" s="32"/>
      <c r="H46" s="30" t="s">
        <v>8</v>
      </c>
      <c r="I46" s="31" t="str">
        <f>IFERROR(I44/(I40/1000),"")</f>
        <v/>
      </c>
      <c r="J46" s="32"/>
      <c r="M46" s="30" t="s">
        <v>8</v>
      </c>
      <c r="N46" s="31" t="str">
        <f>IFERROR(N44/(N40/1000),"")</f>
        <v/>
      </c>
      <c r="O46" s="32"/>
    </row>
    <row r="47" spans="1:15" ht="16.5" thickBot="1" x14ac:dyDescent="0.3">
      <c r="C47" s="33"/>
      <c r="D47" s="34"/>
      <c r="I47" s="33"/>
      <c r="J47" s="34"/>
      <c r="N47" s="33"/>
      <c r="O47" s="34"/>
    </row>
    <row r="48" spans="1:15" ht="20.25" x14ac:dyDescent="0.35">
      <c r="A48" s="98" t="s">
        <v>31</v>
      </c>
      <c r="B48" s="36" t="s">
        <v>41</v>
      </c>
      <c r="C48" s="37"/>
      <c r="D48" s="38"/>
      <c r="H48" s="36" t="s">
        <v>42</v>
      </c>
      <c r="I48" s="37"/>
      <c r="J48" s="38"/>
      <c r="M48" s="36" t="s">
        <v>42</v>
      </c>
      <c r="N48" s="37"/>
      <c r="O48" s="38"/>
    </row>
    <row r="49" spans="1:15" ht="20.25" x14ac:dyDescent="0.35">
      <c r="A49" s="98"/>
      <c r="B49" s="39" t="str">
        <f>IF(C49="","Adjust recommended application by",IF(C49&gt;0,"Increase recommended application by","Decrease recommended application by"))</f>
        <v>Adjust recommended application by</v>
      </c>
      <c r="C49" s="40" t="str">
        <f>IFERROR(IF((-102.84692*(LN(C46))+96.10929)&gt;0,MROUND(-102.84692*(LN(C46))+96.10929,5),MROUND(-102.84692*(LN(C46))+96.10929,-5)),"")</f>
        <v/>
      </c>
      <c r="D49" s="41" t="s">
        <v>48</v>
      </c>
      <c r="H49" s="39" t="str">
        <f>IF(I49="","Adjust recommended application by",IF(I49&gt;0,"Increase recommended application by","Decrease recommended application by"))</f>
        <v>Adjust recommended application by</v>
      </c>
      <c r="I49" s="40" t="str">
        <f>IFERROR(IF((-102.84692*(LN(I46))+96.10929)&gt;0,MROUND(-102.84692*(LN(I46))+96.10929,5),MROUND(-102.84692*(LN(I46))+96.10929,-5)),"")</f>
        <v/>
      </c>
      <c r="J49" s="41" t="s">
        <v>48</v>
      </c>
      <c r="M49" s="39" t="str">
        <f>IF(N49="","Adjust recommended application by",IF(N49&gt;0,"Increase recommended application by","Decrease recommended application by"))</f>
        <v>Adjust recommended application by</v>
      </c>
      <c r="N49" s="40" t="str">
        <f>IFERROR(IF((-102.84692*(LN(N46))+96.10929)&gt;0,MROUND(-102.84692*(LN(N46))+96.10929,5),MROUND(-102.84692*(LN(N46))+96.10929,-5)),"")</f>
        <v/>
      </c>
      <c r="O49" s="41" t="s">
        <v>48</v>
      </c>
    </row>
    <row r="50" spans="1:15" ht="19.5" x14ac:dyDescent="0.3">
      <c r="A50" s="98"/>
      <c r="B50" s="42" t="s">
        <v>11</v>
      </c>
      <c r="C50" s="43" t="str">
        <f>IF(C41&gt;0,C41+C49,"")</f>
        <v/>
      </c>
      <c r="D50" s="44" t="s">
        <v>48</v>
      </c>
      <c r="H50" s="42" t="s">
        <v>11</v>
      </c>
      <c r="I50" s="43" t="str">
        <f>IF(I41&gt;0,I41+I49,"")</f>
        <v/>
      </c>
      <c r="J50" s="44" t="s">
        <v>48</v>
      </c>
      <c r="M50" s="42" t="s">
        <v>11</v>
      </c>
      <c r="N50" s="43" t="str">
        <f>IF(N41&gt;0,N41+N49,"")</f>
        <v/>
      </c>
      <c r="O50" s="44" t="s">
        <v>48</v>
      </c>
    </row>
    <row r="51" spans="1:15" ht="19.5" x14ac:dyDescent="0.3">
      <c r="A51" s="98"/>
      <c r="B51" s="45"/>
      <c r="C51" s="46"/>
      <c r="D51" s="47"/>
      <c r="H51" s="45"/>
      <c r="I51" s="46"/>
      <c r="J51" s="47"/>
      <c r="M51" s="45"/>
      <c r="N51" s="46"/>
      <c r="O51" s="47"/>
    </row>
    <row r="52" spans="1:15" ht="19.5" x14ac:dyDescent="0.3">
      <c r="A52" s="98"/>
      <c r="B52" s="42" t="s">
        <v>12</v>
      </c>
      <c r="C52" s="80" t="str">
        <f>IFERROR(VLOOKUP(C37,YieldImpactEquations[],2,FALSE),"")</f>
        <v/>
      </c>
      <c r="D52" s="44" t="s">
        <v>13</v>
      </c>
      <c r="H52" s="42" t="s">
        <v>12</v>
      </c>
      <c r="I52" s="80" t="str">
        <f>IFERROR(VLOOKUP(I37,YieldImpactEquations[],3,FALSE),"")</f>
        <v/>
      </c>
      <c r="J52" s="44" t="s">
        <v>13</v>
      </c>
      <c r="M52" s="42" t="s">
        <v>12</v>
      </c>
      <c r="N52" s="80" t="str">
        <f>IFERROR(VLOOKUP(N37,YieldImpactEquations[],4,FALSE),"")</f>
        <v/>
      </c>
      <c r="O52" s="44" t="s">
        <v>13</v>
      </c>
    </row>
    <row r="53" spans="1:15" ht="19.5" x14ac:dyDescent="0.3">
      <c r="A53" s="98"/>
      <c r="B53" s="48" t="str">
        <f>IF(C53="","Estimated affect on income",IF(C53&lt;0,"Estimated reduction in crop income","Estimated gain in crop income"))</f>
        <v>Estimated affect on income</v>
      </c>
      <c r="C53" s="49" t="str">
        <f>IFERROR(C52*C40,"")</f>
        <v/>
      </c>
      <c r="D53" s="50" t="s">
        <v>14</v>
      </c>
      <c r="H53" s="48" t="str">
        <f>IF(I53="","Estimated affect on income",IF(I53&lt;0,"Estimated reduction in crop income","Estimated gain in crop income"))</f>
        <v>Estimated affect on income</v>
      </c>
      <c r="I53" s="49" t="str">
        <f>IFERROR(I52*I40,"")</f>
        <v/>
      </c>
      <c r="J53" s="50" t="s">
        <v>14</v>
      </c>
      <c r="M53" s="48" t="str">
        <f>IF(N53="","Estimated affect on income",IF(N53&lt;0,"Estimated reduction in crop income","Estimated gain in crop income"))</f>
        <v>Estimated affect on income</v>
      </c>
      <c r="N53" s="49" t="str">
        <f>IFERROR(N52*N40,"")</f>
        <v/>
      </c>
      <c r="O53" s="50" t="s">
        <v>14</v>
      </c>
    </row>
    <row r="54" spans="1:15" ht="19.5" x14ac:dyDescent="0.3">
      <c r="A54" s="98"/>
      <c r="B54" s="42" t="str">
        <f>IF(C53="","Estimated impact on N fertiliser costs",IF(C54&lt;0,"Estimated reduction in N fertiliser cost","Estimated increase cost of N fertiliser"))</f>
        <v>Estimated impact on N fertiliser costs</v>
      </c>
      <c r="C54" s="43" t="str">
        <f>IFERROR(C49*C44,"")</f>
        <v/>
      </c>
      <c r="D54" s="44" t="s">
        <v>14</v>
      </c>
      <c r="H54" s="42" t="str">
        <f>IF(I53="","Estimated impact on N fertiliser costs",IF(I54&lt;0,"Estimated reduction in N fertiliser cost","Estimated increase cost of N fertiliser"))</f>
        <v>Estimated impact on N fertiliser costs</v>
      </c>
      <c r="I54" s="43" t="str">
        <f>IFERROR(I49*I44,"")</f>
        <v/>
      </c>
      <c r="J54" s="44" t="s">
        <v>14</v>
      </c>
      <c r="M54" s="42" t="str">
        <f>IF(N53="","Estimated impact on N fertiliser costs",IF(N54&lt;0,"Estimated reduction in N fertiliser cost","Estimated increase cost of N fertiliser"))</f>
        <v>Estimated impact on N fertiliser costs</v>
      </c>
      <c r="N54" s="43" t="str">
        <f>IFERROR(N49*N44,"")</f>
        <v/>
      </c>
      <c r="O54" s="44" t="s">
        <v>14</v>
      </c>
    </row>
    <row r="55" spans="1:15" ht="19.5" x14ac:dyDescent="0.3">
      <c r="A55" s="98"/>
      <c r="B55" s="45"/>
      <c r="C55" s="46"/>
      <c r="D55" s="47"/>
      <c r="H55" s="45"/>
      <c r="I55" s="46"/>
      <c r="J55" s="47"/>
      <c r="M55" s="45"/>
      <c r="N55" s="46"/>
      <c r="O55" s="47"/>
    </row>
    <row r="56" spans="1:15" ht="20.25" thickBot="1" x14ac:dyDescent="0.35">
      <c r="A56" s="98"/>
      <c r="B56" s="51" t="s">
        <v>15</v>
      </c>
      <c r="C56" s="52" t="str">
        <f>IF(C42&gt;0,(C42*(C50/C39))/1000,"")</f>
        <v/>
      </c>
      <c r="D56" s="53" t="s">
        <v>16</v>
      </c>
      <c r="H56" s="51" t="s">
        <v>15</v>
      </c>
      <c r="I56" s="52" t="str">
        <f>IF(I42&gt;0,(I42*(I50/I39))/1000,"")</f>
        <v/>
      </c>
      <c r="J56" s="53" t="s">
        <v>16</v>
      </c>
      <c r="M56" s="51" t="s">
        <v>15</v>
      </c>
      <c r="N56" s="52" t="str">
        <f>IF(N42&gt;0,(N42*(N50/N39))/1000,"")</f>
        <v/>
      </c>
      <c r="O56" s="53" t="s">
        <v>16</v>
      </c>
    </row>
    <row r="58" spans="1:15" x14ac:dyDescent="0.25">
      <c r="B58" s="100" t="s">
        <v>51</v>
      </c>
      <c r="C58" s="100"/>
      <c r="D58" s="100"/>
      <c r="E58" s="100"/>
    </row>
    <row r="59" spans="1:15" x14ac:dyDescent="0.25">
      <c r="B59" s="75"/>
      <c r="C59" s="75"/>
      <c r="D59" s="75"/>
      <c r="E59" s="75"/>
    </row>
    <row r="60" spans="1:15" ht="16.5" x14ac:dyDescent="0.25">
      <c r="A60" s="71" t="s">
        <v>46</v>
      </c>
    </row>
    <row r="61" spans="1:15" ht="17.25" x14ac:dyDescent="0.3">
      <c r="A61" s="61" t="s">
        <v>43</v>
      </c>
    </row>
    <row r="62" spans="1:15" ht="16.5" thickBot="1" x14ac:dyDescent="0.3">
      <c r="A62"/>
      <c r="B62"/>
      <c r="C62"/>
      <c r="D62"/>
      <c r="E62"/>
      <c r="F62"/>
      <c r="G62"/>
      <c r="H62"/>
      <c r="I62"/>
      <c r="J62"/>
      <c r="K62"/>
      <c r="L62"/>
      <c r="M62"/>
    </row>
    <row r="63" spans="1:15" x14ac:dyDescent="0.25">
      <c r="A63" s="4" t="s">
        <v>17</v>
      </c>
      <c r="B63" s="4"/>
      <c r="C63" s="4"/>
      <c r="D63" s="4"/>
      <c r="E63" s="4"/>
      <c r="F63" s="4"/>
      <c r="G63" s="86"/>
      <c r="H63" s="86"/>
      <c r="I63" s="86"/>
      <c r="J63" s="86"/>
      <c r="K63" s="86"/>
      <c r="L63" s="86"/>
      <c r="M63" s="86"/>
    </row>
    <row r="64" spans="1:15" x14ac:dyDescent="0.25">
      <c r="A64" s="5"/>
      <c r="B64" s="5"/>
      <c r="C64" s="5"/>
      <c r="D64" s="5"/>
      <c r="E64" s="5"/>
      <c r="F64"/>
      <c r="G64"/>
      <c r="H64"/>
      <c r="I64"/>
      <c r="J64"/>
      <c r="K64"/>
      <c r="L64"/>
      <c r="M64"/>
    </row>
    <row r="65" spans="1:13" ht="64.5" customHeight="1" x14ac:dyDescent="0.25">
      <c r="A65" s="95" t="s">
        <v>18</v>
      </c>
      <c r="B65" s="95"/>
      <c r="C65" s="95"/>
      <c r="D65" s="95"/>
      <c r="E65" s="95"/>
      <c r="F65" s="95"/>
      <c r="G65" s="87"/>
      <c r="H65" s="87"/>
      <c r="I65" s="87"/>
      <c r="J65" s="87"/>
      <c r="K65" s="87"/>
      <c r="L65" s="87"/>
      <c r="M65" s="87"/>
    </row>
    <row r="66" spans="1:13" x14ac:dyDescent="0.25">
      <c r="A66" s="5"/>
      <c r="B66" s="6"/>
      <c r="C66" s="6"/>
      <c r="D66" s="6"/>
      <c r="E66" s="6"/>
      <c r="F66"/>
      <c r="G66"/>
      <c r="H66"/>
      <c r="I66"/>
      <c r="J66"/>
      <c r="K66"/>
      <c r="L66"/>
      <c r="M66"/>
    </row>
    <row r="67" spans="1:13" ht="32.25" customHeight="1" thickBot="1" x14ac:dyDescent="0.3">
      <c r="A67" s="97" t="s">
        <v>19</v>
      </c>
      <c r="B67" s="97"/>
      <c r="C67" s="97"/>
      <c r="D67" s="97"/>
      <c r="E67" s="97"/>
      <c r="F67" s="97"/>
      <c r="G67" s="88"/>
      <c r="H67" s="88"/>
      <c r="I67" s="88"/>
      <c r="J67" s="88"/>
      <c r="K67" s="88"/>
      <c r="L67" s="88"/>
      <c r="M67" s="88"/>
    </row>
    <row r="68" spans="1:13" x14ac:dyDescent="0.25">
      <c r="A68" s="4"/>
      <c r="B68" s="4"/>
      <c r="C68" s="4"/>
      <c r="D68" s="4"/>
      <c r="E68" s="4"/>
      <c r="F68" s="4"/>
      <c r="G68" s="7"/>
      <c r="H68" s="7"/>
      <c r="I68" s="7"/>
      <c r="J68" s="7"/>
      <c r="K68" s="7"/>
      <c r="L68" s="7"/>
      <c r="M68" s="7"/>
    </row>
  </sheetData>
  <sheetProtection algorithmName="SHA-512" hashValue="b+m0GGZzodsA8ci0s8fYMLtvFw1Fuy36PZHAH3iGawQe+OWwXlLE629izToecnSn1RZjNsd9wttW0hsxBk1Rpw==" saltValue="qM5xiZMj8+QB9bEtjsFWXg==" spinCount="100000" sheet="1" selectLockedCells="1"/>
  <mergeCells count="9">
    <mergeCell ref="B7:M7"/>
    <mergeCell ref="A67:F67"/>
    <mergeCell ref="A65:F65"/>
    <mergeCell ref="A10:A20"/>
    <mergeCell ref="A22:A30"/>
    <mergeCell ref="A36:A46"/>
    <mergeCell ref="A48:A56"/>
    <mergeCell ref="B32:E32"/>
    <mergeCell ref="B58:E58"/>
  </mergeCells>
  <dataValidations count="1">
    <dataValidation type="whole" operator="lessThan" allowBlank="1" showInputMessage="1" showErrorMessage="1" error="Please enter a value below £1,301/t._x000a_See red PLEASE NOTE at the top of the page for further information" sqref="C12 I12 N12 C38 I38 N38" xr:uid="{16C1FDC0-8C66-4880-A097-F69B19F52C82}">
      <formula1>1301</formula1>
    </dataValidation>
  </dataValidations>
  <hyperlinks>
    <hyperlink ref="B32:E32" location="'N Application split guidance'!A3" display="Click here to go to N application split guidance" xr:uid="{4D90BEB9-3C6F-40C4-A4C2-8D69B06F31B9}"/>
    <hyperlink ref="B58:E58" location="'N Application split guidance'!A3" display="Click here to go to N application split guidance" xr:uid="{797B0088-EC86-499D-8151-F2F862CD9E86}"/>
  </hyperlinks>
  <pageMargins left="0.7" right="0.7" top="0.75" bottom="0.75" header="0.3" footer="0.3"/>
  <pageSetup paperSize="9" orientation="portrait" r:id="rId1"/>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r:uid="{0B16BDE7-CC30-4906-A992-927612E6B160}">
          <x14:formula1>
            <xm:f>'Yield impact equations'!$B$10:$B$12</xm:f>
          </x14:formula1>
          <xm:sqref>C37 I37 N37</xm:sqref>
        </x14:dataValidation>
        <x14:dataValidation type="list" allowBlank="1" showInputMessage="1" showErrorMessage="1" xr:uid="{551540D5-30AB-4EDD-B0FE-C6E8A5974793}">
          <x14:formula1>
            <xm:f>'Yield impact equations'!$B$4:$B$9</xm:f>
          </x14:formula1>
          <xm:sqref>C11 I11 N11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F8C6C-672B-418B-AE46-7E4A35C11A9C}">
  <sheetPr>
    <tabColor theme="7"/>
  </sheetPr>
  <dimension ref="A1:F82"/>
  <sheetViews>
    <sheetView showGridLines="0" showRowColHeaders="0" zoomScale="90" zoomScaleNormal="90" workbookViewId="0">
      <selection activeCell="A3" sqref="A3"/>
    </sheetView>
  </sheetViews>
  <sheetFormatPr defaultRowHeight="15" x14ac:dyDescent="0.25"/>
  <cols>
    <col min="1" max="1" width="168.5703125" customWidth="1"/>
  </cols>
  <sheetData>
    <row r="1" spans="1:6" ht="61.5" customHeight="1" x14ac:dyDescent="0.25">
      <c r="B1" s="101" t="s">
        <v>50</v>
      </c>
      <c r="C1" s="101"/>
      <c r="D1" s="101"/>
      <c r="E1" s="101"/>
      <c r="F1" s="101"/>
    </row>
    <row r="2" spans="1:6" ht="108" customHeight="1" x14ac:dyDescent="0.25">
      <c r="A2" s="74" t="s">
        <v>49</v>
      </c>
    </row>
    <row r="3" spans="1:6" ht="21" x14ac:dyDescent="0.25">
      <c r="A3" s="72"/>
    </row>
    <row r="4" spans="1:6" ht="15.75" x14ac:dyDescent="0.25">
      <c r="A4" s="73"/>
    </row>
    <row r="82" spans="1:5" ht="18.75" x14ac:dyDescent="0.25">
      <c r="A82" s="102" t="s">
        <v>50</v>
      </c>
      <c r="B82" s="102"/>
      <c r="C82" s="102"/>
      <c r="D82" s="102"/>
      <c r="E82" s="102"/>
    </row>
  </sheetData>
  <sheetProtection algorithmName="SHA-512" hashValue="oIFLQhIC2Gl+u2PgEfTUOu32k5ogYkGx4oHcElo99/RxkP/EIe9Na6bEqRll+Yjqt9CNvh9UVWJMttf+fKRReQ==" saltValue="u4BnYUbJkVhLmDONAG44Mw==" spinCount="100000" sheet="1" objects="1" scenarios="1"/>
  <mergeCells count="2">
    <mergeCell ref="B1:F1"/>
    <mergeCell ref="A82:E82"/>
  </mergeCells>
  <hyperlinks>
    <hyperlink ref="B1:F1" location="'N fert adjustment calculator'!C10" display="Click here to go back to calculator" xr:uid="{138E69E7-7C57-430B-8410-5DCE74393317}"/>
    <hyperlink ref="A82:E82" location="'N fert adjustment calculator'!C10" display="Click here to go back to calculator" xr:uid="{8512A2CE-78EA-4F6A-9574-E6C01318747C}"/>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D5F3-040C-4AE8-A1D8-B9520DA61F6F}">
  <dimension ref="B2:E25"/>
  <sheetViews>
    <sheetView showFormulas="1" workbookViewId="0">
      <selection activeCell="B15" sqref="B15"/>
    </sheetView>
  </sheetViews>
  <sheetFormatPr defaultRowHeight="15" x14ac:dyDescent="0.25"/>
  <cols>
    <col min="2" max="2" width="12.28515625" customWidth="1"/>
    <col min="3" max="5" width="28.28515625" customWidth="1"/>
    <col min="7" max="7" width="12" bestFit="1" customWidth="1"/>
    <col min="8" max="8" width="11.140625" bestFit="1" customWidth="1"/>
    <col min="9" max="9" width="13.28515625" bestFit="1" customWidth="1"/>
  </cols>
  <sheetData>
    <row r="2" spans="2:5" x14ac:dyDescent="0.25">
      <c r="B2" s="103" t="s">
        <v>64</v>
      </c>
      <c r="C2" s="103"/>
    </row>
    <row r="3" spans="2:5" x14ac:dyDescent="0.25">
      <c r="B3" t="s">
        <v>62</v>
      </c>
      <c r="C3" s="76" t="s">
        <v>57</v>
      </c>
      <c r="D3" s="77" t="s">
        <v>58</v>
      </c>
      <c r="E3" s="78" t="s">
        <v>59</v>
      </c>
    </row>
    <row r="4" spans="2:5" x14ac:dyDescent="0.25">
      <c r="B4" s="77"/>
      <c r="C4" s="77"/>
      <c r="D4" s="77"/>
      <c r="E4" s="77"/>
    </row>
    <row r="5" spans="2:5" x14ac:dyDescent="0.25">
      <c r="B5" t="s">
        <v>52</v>
      </c>
      <c r="C5" t="str">
        <f>IFERROR((-0.000000000012909*('N fert adjustment calculator'!C23^5))-(0*('N fert adjustment calculator'!C23^4))+(0.000000583362553*('N fert adjustment calculator'!C23^3))+(0.000000000000001*('N fert adjustment calculator'!C23^2))+(0.005832643191497*'N fert adjustment calculator'!C23)+0.000000000004205,"")</f>
        <v/>
      </c>
      <c r="D5" t="str">
        <f>IFERROR((-0.000000000012909*('N fert adjustment calculator'!I23^5))-(0*('N fert adjustment calculator'!I23^4))+(0.000000583362553*('N fert adjustment calculator'!I23^3))+(0.000000000000001*('N fert adjustment calculator'!I23^2))+(0.005832643191497*'N fert adjustment calculator'!I23)+0.000000000004205,"")</f>
        <v/>
      </c>
      <c r="E5" t="str">
        <f>IFERROR((-0.000000000012909*('N fert adjustment calculator'!N23^5))-(0*('N fert adjustment calculator'!N23^4))+(0.000000583362553*('N fert adjustment calculator'!N23^3))+(0.000000000000001*('N fert adjustment calculator'!N23^2))+(0.005832643191497*'N fert adjustment calculator'!N23)+0.000000000004205,"")</f>
        <v/>
      </c>
    </row>
    <row r="6" spans="2:5" x14ac:dyDescent="0.25">
      <c r="B6" t="s">
        <v>53</v>
      </c>
      <c r="C6" t="str">
        <f>IFERROR((-0.000000000014679*'N fert adjustment calculator'!C23^5) + (0*'N fert adjustment calculator'!C23^4) + (0.00000082628824*'N fert adjustment calculator'!C23^3) + (0.000000000000001*'N fert adjustment calculator'!C23^2) + (0.005979679765437*'N fert adjustment calculator'!C23) + 0.000000000000553,"")</f>
        <v/>
      </c>
      <c r="D6" t="str">
        <f>IFERROR((-0.000000000014679*'N fert adjustment calculator'!I23^5) + (0*'N fert adjustment calculator'!I23^4) + (0.00000082628824*'N fert adjustment calculator'!I23^3) + (0.000000000000001*'N fert adjustment calculator'!I23^2) + (0.005979679765437*'N fert adjustment calculator'!I23) + 0.000000000000553,"")</f>
        <v/>
      </c>
      <c r="E6" t="str">
        <f>IFERROR((-0.000000000014679*'N fert adjustment calculator'!N23^5) + (0*'N fert adjustment calculator'!N23^4) + (0.00000082628824*'N fert adjustment calculator'!N23^3) + (0.000000000000001*'N fert adjustment calculator'!N23^2) + (0.005979679765437*'N fert adjustment calculator'!N23) + 0.000000000000553,"")</f>
        <v/>
      </c>
    </row>
    <row r="7" spans="2:5" x14ac:dyDescent="0.25">
      <c r="B7" t="s">
        <v>54</v>
      </c>
      <c r="C7" t="str">
        <f>IFERROR((-0.000000000050227*'N fert adjustment calculator'!C23^5) + (0*'N fert adjustment calculator'!C23^4) + (0.00000102931477*'N fert adjustment calculator'!C23^3) -( 0*'N fert adjustment calculator'!C23^2) + (0.007914612114626*'N fert adjustment calculator'!C23) + 0.000000000000006,"")</f>
        <v/>
      </c>
      <c r="D7" t="str">
        <f>IFERROR((-0.000000000050227*'N fert adjustment calculator'!I23^5) + (0*'N fert adjustment calculator'!I23^4) + (0.00000102931477*'N fert adjustment calculator'!I23^3) -( 0*'N fert adjustment calculator'!I23^2) + (0.007914612114626*'N fert adjustment calculator'!I23) + 0.000000000000006,"")</f>
        <v/>
      </c>
      <c r="E7" t="str">
        <f>IFERROR((-0.000000000050227*'N fert adjustment calculator'!N23^5) + (0*'N fert adjustment calculator'!N23^4) + (0.00000102931477*'N fert adjustment calculator'!N23^3) -( 0*'N fert adjustment calculator'!N23^2) + (0.007914612114626*'N fert adjustment calculator'!N23) + 0.000000000000006,"")</f>
        <v/>
      </c>
    </row>
    <row r="8" spans="2:5" x14ac:dyDescent="0.25">
      <c r="B8" t="s">
        <v>63</v>
      </c>
      <c r="C8" t="str">
        <f>IFERROR((-0.000000000096677*'N fert adjustment calculator'!C23^5) + (0*'N fert adjustment calculator'!C23^4) + (0.00000222817823*'N fert adjustment calculator'!C23^3) + (0.000000000000002*'N fert adjustment calculator'!C23^2) + (0.006748087391473*'N fert adjustment calculator'!C23) + 0.000000000008044,"")</f>
        <v/>
      </c>
      <c r="D8" t="str">
        <f>IFERROR((-0.000000000096677*'N fert adjustment calculator'!I23^5) + (0*'N fert adjustment calculator'!I23^4) + (0.00000222817823*'N fert adjustment calculator'!I23^3) + (0.000000000000002*'N fert adjustment calculator'!I23^2) + (0.006748087391473*'N fert adjustment calculator'!I23) + 0.000000000008044,"")</f>
        <v/>
      </c>
      <c r="E8" t="str">
        <f>IFERROR((-0.000000000096677*'N fert adjustment calculator'!N23^5) + (0*'N fert adjustment calculator'!N23^4) + (0.00000222817823*'N fert adjustment calculator'!N23^3) + (0.000000000000002*'N fert adjustment calculator'!N23^2) + (0.006748087391473*'N fert adjustment calculator'!N23) + 0.000000000008044,"")</f>
        <v/>
      </c>
    </row>
    <row r="9" spans="2:5" x14ac:dyDescent="0.25">
      <c r="B9" t="s">
        <v>56</v>
      </c>
      <c r="C9" t="str">
        <f>IFERROR((-0.000000000012909*('N fert adjustment calculator'!C23^5))-(0*('N fert adjustment calculator'!C23^4))+(0.000000583362553*('N fert adjustment calculator'!C23^3))+(0.000000000000001*('N fert adjustment calculator'!C23^2))+(0.005832643191497*'N fert adjustment calculator'!C23)+0.000000000004205,"")</f>
        <v/>
      </c>
      <c r="D9" t="str">
        <f>IFERROR((-0.000000000012909*('N fert adjustment calculator'!I23^5))-(0*('N fert adjustment calculator'!I23^4))+(0.000000583362553*('N fert adjustment calculator'!I23^3))+(0.000000000000001*('N fert adjustment calculator'!I23^2))+(0.005832643191497*'N fert adjustment calculator'!I23)+0.000000000004205,"")</f>
        <v/>
      </c>
      <c r="E9" t="str">
        <f>IFERROR((-0.000000000012909*('N fert adjustment calculator'!N23^5))-(0*('N fert adjustment calculator'!N23^4))+(0.000000583362553*('N fert adjustment calculator'!N23^3))+(0.000000000000001*('N fert adjustment calculator'!N23^2))+(0.005832643191497*'N fert adjustment calculator'!N23)+0.000000000004205,"")</f>
        <v/>
      </c>
    </row>
    <row r="11" spans="2:5" x14ac:dyDescent="0.25">
      <c r="B11" t="s">
        <v>55</v>
      </c>
      <c r="C11" t="str">
        <f>IFERROR((-0.000000000008127*'N fert adjustment calculator'!C49^5)+(0*'N fert adjustment calculator'!C49^4)+(0.000000317952334*'N fert adjustment calculator'!C49^3)+(0.000000000000001*'N fert adjustment calculator'!C49^2)+(0.002832009286948*'N fert adjustment calculator'!C49)+0.000000000001676,"")</f>
        <v/>
      </c>
      <c r="D11" t="str">
        <f>IFERROR((-0.000000000008127*'N fert adjustment calculator'!I49^5)+(0*'N fert adjustment calculator'!I49^4)+(0.000000317952334*'N fert adjustment calculator'!I49^3)+(0.000000000000001*'N fert adjustment calculator'!I49^2)+(0.002832009286948*'N fert adjustment calculator'!I49)+0.000000000001676,"")</f>
        <v/>
      </c>
      <c r="E11" t="str">
        <f>IFERROR((-0.000000000008127*'N fert adjustment calculator'!N49^5)+(0*'N fert adjustment calculator'!N49^4)+(0.000000317952334*'N fert adjustment calculator'!N49^3)+(0.000000000000001*'N fert adjustment calculator'!N49^2)+(0.002832009286948*'N fert adjustment calculator'!N49)+0.000000000001676,"")</f>
        <v/>
      </c>
    </row>
    <row r="12" spans="2:5" x14ac:dyDescent="0.25">
      <c r="B12" t="s">
        <v>60</v>
      </c>
      <c r="C12" t="str">
        <f>IFERROR((-0.00000000000435*'N fert adjustment calculator'!C49^5)-(0*'N fert adjustment calculator'!C49^4)+(0.00000019698064*'N fert adjustment calculator'!C49^3)+(0*'N fert adjustment calculator'!C49^2)+(0.002776737949013*'N fert adjustment calculator'!C49)+0.000000000000218,"")</f>
        <v/>
      </c>
      <c r="D12" t="str">
        <f>IFERROR((-0.00000000000435*'N fert adjustment calculator'!I49^5)-(0*'N fert adjustment calculator'!I49^4)+(0.00000019698064*'N fert adjustment calculator'!I49^3)+(0*'N fert adjustment calculator'!I49^2)+(0.002776737949013*'N fert adjustment calculator'!I49)+0.000000000000218,"")</f>
        <v/>
      </c>
      <c r="E12" t="str">
        <f>IFERROR((-0.00000000000435*'N fert adjustment calculator'!N49^5)-(0*'N fert adjustment calculator'!N49^4)+(0.00000019698064*'N fert adjustment calculator'!N49^3)+(0*'N fert adjustment calculator'!N49^2)+(0.002776737949013*'N fert adjustment calculator'!N49)+0.000000000000218,"")</f>
        <v/>
      </c>
    </row>
    <row r="15" spans="2:5" x14ac:dyDescent="0.25">
      <c r="B15" s="85"/>
    </row>
    <row r="16" spans="2:5" x14ac:dyDescent="0.25">
      <c r="C16" s="79"/>
    </row>
    <row r="17" spans="3:4" x14ac:dyDescent="0.25">
      <c r="C17" s="79"/>
    </row>
    <row r="19" spans="3:4" x14ac:dyDescent="0.25">
      <c r="C19" s="84"/>
    </row>
    <row r="22" spans="3:4" x14ac:dyDescent="0.25">
      <c r="D22" s="81"/>
    </row>
    <row r="25" spans="3:4" x14ac:dyDescent="0.25">
      <c r="D25" s="84"/>
    </row>
  </sheetData>
  <sheetProtection algorithmName="SHA-512" hashValue="xsCEBJVXsSw4V3Qt22InbWw/vzf0lIPoiizVnwlDBYrU6QPvW15ISoqNngSg2Abbmq8wMERoUdx3n493Fv+OJQ==" saltValue="juFG6M7kiPOIuUlvVVADFA==" spinCount="100000" sheet="1" objects="1" scenarios="1"/>
  <mergeCells count="1">
    <mergeCell ref="B2:C2"/>
  </mergeCells>
  <phoneticPr fontId="41"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N fert adjustment calculator</vt:lpstr>
      <vt:lpstr>N Application split guidance</vt:lpstr>
      <vt:lpstr>Yield impact equations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Topliff</dc:creator>
  <cp:lastModifiedBy>Mark Topliff</cp:lastModifiedBy>
  <dcterms:created xsi:type="dcterms:W3CDTF">2021-11-15T16:38:14Z</dcterms:created>
  <dcterms:modified xsi:type="dcterms:W3CDTF">2022-09-07T14:30:48Z</dcterms:modified>
</cp:coreProperties>
</file>